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Domes sēdes\DOMES SĒDES\1.1_DOMES DARBĪBA\1.1.2_Novada_domes_LĒMUMI\2023\Prot_14\"/>
    </mc:Choice>
  </mc:AlternateContent>
  <xr:revisionPtr revIDLastSave="0" documentId="8_{16C8E7E0-536C-4995-A6E0-D1AC910F8525}" xr6:coauthVersionLast="47" xr6:coauthVersionMax="47" xr10:uidLastSave="{00000000-0000-0000-0000-000000000000}"/>
  <bookViews>
    <workbookView xWindow="9795" yWindow="180" windowWidth="17130" windowHeight="15195" xr2:uid="{6F12AE78-082E-4D81-BA6C-44472E65020F}"/>
  </bookViews>
  <sheets>
    <sheet name="1.pielikums" sheetId="1" r:id="rId1"/>
    <sheet name="2.pielikums" sheetId="2" r:id="rId2"/>
    <sheet name="4.pielikums" sheetId="3" r:id="rId3"/>
    <sheet name="5.pielikums" sheetId="4" r:id="rId4"/>
    <sheet name="6.pielikums" sheetId="5" r:id="rId5"/>
    <sheet name="7.pielikums" sheetId="6" r:id="rId6"/>
    <sheet name="8.pielikums" sheetId="7" r:id="rId7"/>
    <sheet name="9.pielikums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3" i="8" l="1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H13" i="8"/>
  <c r="G13" i="8"/>
  <c r="F13" i="8"/>
  <c r="E13" i="8"/>
  <c r="D13" i="8"/>
  <c r="I13" i="8" s="1"/>
  <c r="C13" i="8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 s="1"/>
  <c r="C15" i="7"/>
  <c r="F14" i="7"/>
  <c r="E14" i="7"/>
  <c r="D14" i="7"/>
  <c r="C14" i="7"/>
  <c r="M28" i="6" l="1"/>
  <c r="O28" i="6" s="1"/>
  <c r="L28" i="6"/>
  <c r="H28" i="6"/>
  <c r="N25" i="6"/>
  <c r="O25" i="6" s="1"/>
  <c r="M25" i="6"/>
  <c r="L25" i="6"/>
  <c r="H25" i="6"/>
  <c r="N22" i="6"/>
  <c r="O22" i="6" s="1"/>
  <c r="M22" i="6"/>
  <c r="L22" i="6"/>
  <c r="H22" i="6"/>
  <c r="M19" i="6"/>
  <c r="K19" i="6"/>
  <c r="L19" i="6" s="1"/>
  <c r="J19" i="6"/>
  <c r="I19" i="6"/>
  <c r="H19" i="6"/>
  <c r="J16" i="6"/>
  <c r="I16" i="6"/>
  <c r="H16" i="6"/>
  <c r="G16" i="6"/>
  <c r="F16" i="6"/>
  <c r="F14" i="6" s="1"/>
  <c r="E16" i="6"/>
  <c r="E14" i="6" s="1"/>
  <c r="M14" i="6" s="1"/>
  <c r="D16" i="6"/>
  <c r="D14" i="6" s="1"/>
  <c r="J14" i="6"/>
  <c r="I14" i="6"/>
  <c r="H14" i="6"/>
  <c r="G14" i="6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4" i="5" s="1"/>
  <c r="I16" i="5"/>
  <c r="I15" i="5"/>
  <c r="H14" i="5"/>
  <c r="G14" i="5"/>
  <c r="F14" i="5"/>
  <c r="D14" i="5"/>
  <c r="C14" i="5"/>
  <c r="I38" i="4"/>
  <c r="I37" i="4"/>
  <c r="D37" i="4"/>
  <c r="D14" i="4" s="1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 s="1"/>
  <c r="H14" i="4"/>
  <c r="G14" i="4"/>
  <c r="F14" i="4"/>
  <c r="C14" i="4"/>
  <c r="K16" i="6" l="1"/>
  <c r="N16" i="6" s="1"/>
  <c r="M16" i="6"/>
  <c r="N19" i="6"/>
  <c r="O19" i="6" s="1"/>
  <c r="O16" i="6" l="1"/>
  <c r="L16" i="6"/>
  <c r="L14" i="6" s="1"/>
  <c r="K14" i="6"/>
  <c r="N14" i="6" s="1"/>
  <c r="O14" i="6" s="1"/>
  <c r="P535" i="3" l="1"/>
  <c r="N528" i="3"/>
  <c r="M528" i="3"/>
  <c r="K528" i="3"/>
  <c r="J528" i="3"/>
  <c r="N527" i="3"/>
  <c r="M527" i="3"/>
  <c r="L527" i="3"/>
  <c r="K527" i="3"/>
  <c r="J527" i="3"/>
  <c r="I527" i="3"/>
  <c r="H527" i="3"/>
  <c r="O526" i="3"/>
  <c r="N526" i="3"/>
  <c r="M526" i="3"/>
  <c r="L526" i="3"/>
  <c r="K526" i="3"/>
  <c r="J526" i="3"/>
  <c r="I526" i="3"/>
  <c r="H526" i="3"/>
  <c r="P526" i="3" s="1"/>
  <c r="P525" i="3"/>
  <c r="O525" i="3"/>
  <c r="P524" i="3"/>
  <c r="N523" i="3"/>
  <c r="M523" i="3"/>
  <c r="L523" i="3"/>
  <c r="K523" i="3"/>
  <c r="J523" i="3"/>
  <c r="I523" i="3"/>
  <c r="H523" i="3"/>
  <c r="O522" i="3"/>
  <c r="P522" i="3" s="1"/>
  <c r="P521" i="3"/>
  <c r="O521" i="3"/>
  <c r="O523" i="3" s="1"/>
  <c r="O520" i="3"/>
  <c r="N520" i="3"/>
  <c r="M520" i="3"/>
  <c r="L520" i="3"/>
  <c r="K520" i="3"/>
  <c r="J520" i="3"/>
  <c r="I520" i="3"/>
  <c r="H520" i="3"/>
  <c r="P519" i="3"/>
  <c r="P518" i="3"/>
  <c r="O517" i="3"/>
  <c r="N517" i="3"/>
  <c r="M517" i="3"/>
  <c r="L517" i="3"/>
  <c r="K517" i="3"/>
  <c r="J517" i="3"/>
  <c r="I517" i="3"/>
  <c r="H517" i="3"/>
  <c r="P517" i="3" s="1"/>
  <c r="H516" i="3"/>
  <c r="P516" i="3" s="1"/>
  <c r="P515" i="3"/>
  <c r="O514" i="3"/>
  <c r="N514" i="3"/>
  <c r="M514" i="3"/>
  <c r="L514" i="3"/>
  <c r="K514" i="3"/>
  <c r="J514" i="3"/>
  <c r="I514" i="3"/>
  <c r="O513" i="3"/>
  <c r="H513" i="3"/>
  <c r="P512" i="3"/>
  <c r="O512" i="3"/>
  <c r="N511" i="3"/>
  <c r="M511" i="3"/>
  <c r="L511" i="3"/>
  <c r="K511" i="3"/>
  <c r="J511" i="3"/>
  <c r="I511" i="3"/>
  <c r="H511" i="3"/>
  <c r="P510" i="3"/>
  <c r="O510" i="3"/>
  <c r="H510" i="3"/>
  <c r="O509" i="3"/>
  <c r="O508" i="3"/>
  <c r="N508" i="3"/>
  <c r="M508" i="3"/>
  <c r="I508" i="3"/>
  <c r="H508" i="3"/>
  <c r="L507" i="3"/>
  <c r="K507" i="3"/>
  <c r="K508" i="3" s="1"/>
  <c r="K529" i="3" s="1"/>
  <c r="J507" i="3"/>
  <c r="J508" i="3" s="1"/>
  <c r="J529" i="3" s="1"/>
  <c r="I507" i="3"/>
  <c r="I528" i="3" s="1"/>
  <c r="H507" i="3"/>
  <c r="P506" i="3"/>
  <c r="P500" i="3"/>
  <c r="O500" i="3"/>
  <c r="N500" i="3"/>
  <c r="M500" i="3"/>
  <c r="L500" i="3"/>
  <c r="K500" i="3"/>
  <c r="J500" i="3"/>
  <c r="I500" i="3"/>
  <c r="H500" i="3"/>
  <c r="P499" i="3"/>
  <c r="P498" i="3"/>
  <c r="O497" i="3"/>
  <c r="N497" i="3"/>
  <c r="M497" i="3"/>
  <c r="L497" i="3"/>
  <c r="K497" i="3"/>
  <c r="J497" i="3"/>
  <c r="I497" i="3"/>
  <c r="H497" i="3"/>
  <c r="P496" i="3"/>
  <c r="O496" i="3"/>
  <c r="P495" i="3"/>
  <c r="P497" i="3" s="1"/>
  <c r="O495" i="3"/>
  <c r="N494" i="3"/>
  <c r="M494" i="3"/>
  <c r="L494" i="3"/>
  <c r="K494" i="3"/>
  <c r="J494" i="3"/>
  <c r="I494" i="3"/>
  <c r="O493" i="3"/>
  <c r="H493" i="3"/>
  <c r="O492" i="3"/>
  <c r="M491" i="3"/>
  <c r="L491" i="3"/>
  <c r="J491" i="3"/>
  <c r="I491" i="3"/>
  <c r="O490" i="3"/>
  <c r="H490" i="3"/>
  <c r="P489" i="3"/>
  <c r="O489" i="3"/>
  <c r="O491" i="3" s="1"/>
  <c r="N489" i="3"/>
  <c r="N491" i="3" s="1"/>
  <c r="M489" i="3"/>
  <c r="L489" i="3"/>
  <c r="K489" i="3"/>
  <c r="K491" i="3" s="1"/>
  <c r="J489" i="3"/>
  <c r="N488" i="3"/>
  <c r="M488" i="3"/>
  <c r="I488" i="3"/>
  <c r="H488" i="3"/>
  <c r="O487" i="3"/>
  <c r="P487" i="3" s="1"/>
  <c r="O486" i="3"/>
  <c r="O488" i="3" s="1"/>
  <c r="N486" i="3"/>
  <c r="M486" i="3"/>
  <c r="L486" i="3"/>
  <c r="L488" i="3" s="1"/>
  <c r="K486" i="3"/>
  <c r="J486" i="3"/>
  <c r="J488" i="3" s="1"/>
  <c r="L485" i="3"/>
  <c r="K485" i="3"/>
  <c r="I485" i="3"/>
  <c r="H485" i="3"/>
  <c r="P484" i="3"/>
  <c r="O484" i="3"/>
  <c r="H484" i="3"/>
  <c r="O483" i="3"/>
  <c r="O485" i="3" s="1"/>
  <c r="N483" i="3"/>
  <c r="N485" i="3" s="1"/>
  <c r="M483" i="3"/>
  <c r="M485" i="3" s="1"/>
  <c r="L483" i="3"/>
  <c r="K483" i="3"/>
  <c r="J483" i="3"/>
  <c r="J485" i="3" s="1"/>
  <c r="O482" i="3"/>
  <c r="M482" i="3"/>
  <c r="L482" i="3"/>
  <c r="H482" i="3"/>
  <c r="P481" i="3"/>
  <c r="O481" i="3"/>
  <c r="O480" i="3"/>
  <c r="N480" i="3"/>
  <c r="N482" i="3" s="1"/>
  <c r="M480" i="3"/>
  <c r="L480" i="3"/>
  <c r="K480" i="3"/>
  <c r="K482" i="3" s="1"/>
  <c r="J480" i="3"/>
  <c r="I480" i="3"/>
  <c r="I482" i="3" s="1"/>
  <c r="N479" i="3"/>
  <c r="M479" i="3"/>
  <c r="L479" i="3"/>
  <c r="K479" i="3"/>
  <c r="J479" i="3"/>
  <c r="I479" i="3"/>
  <c r="H479" i="3"/>
  <c r="O478" i="3"/>
  <c r="P478" i="3" s="1"/>
  <c r="H478" i="3"/>
  <c r="O477" i="3"/>
  <c r="O479" i="3" s="1"/>
  <c r="N476" i="3"/>
  <c r="M476" i="3"/>
  <c r="L476" i="3"/>
  <c r="K476" i="3"/>
  <c r="J476" i="3"/>
  <c r="I476" i="3"/>
  <c r="H476" i="3"/>
  <c r="P475" i="3"/>
  <c r="O475" i="3"/>
  <c r="H475" i="3"/>
  <c r="O474" i="3"/>
  <c r="O473" i="3"/>
  <c r="N473" i="3"/>
  <c r="I473" i="3"/>
  <c r="H473" i="3"/>
  <c r="P472" i="3"/>
  <c r="O472" i="3"/>
  <c r="O471" i="3"/>
  <c r="N471" i="3"/>
  <c r="M471" i="3"/>
  <c r="M473" i="3" s="1"/>
  <c r="L471" i="3"/>
  <c r="L473" i="3" s="1"/>
  <c r="K471" i="3"/>
  <c r="K473" i="3" s="1"/>
  <c r="J471" i="3"/>
  <c r="J473" i="3" s="1"/>
  <c r="I471" i="3"/>
  <c r="P471" i="3" s="1"/>
  <c r="P473" i="3" s="1"/>
  <c r="N470" i="3"/>
  <c r="M470" i="3"/>
  <c r="K470" i="3"/>
  <c r="J470" i="3"/>
  <c r="H470" i="3"/>
  <c r="O469" i="3"/>
  <c r="P469" i="3" s="1"/>
  <c r="O468" i="3"/>
  <c r="O470" i="3" s="1"/>
  <c r="N468" i="3"/>
  <c r="M468" i="3"/>
  <c r="L468" i="3"/>
  <c r="L470" i="3" s="1"/>
  <c r="K468" i="3"/>
  <c r="J468" i="3"/>
  <c r="I468" i="3"/>
  <c r="I470" i="3" s="1"/>
  <c r="O467" i="3"/>
  <c r="N467" i="3"/>
  <c r="M467" i="3"/>
  <c r="L467" i="3"/>
  <c r="K467" i="3"/>
  <c r="J467" i="3"/>
  <c r="I467" i="3"/>
  <c r="P466" i="3"/>
  <c r="O466" i="3"/>
  <c r="H466" i="3"/>
  <c r="H467" i="3" s="1"/>
  <c r="P465" i="3"/>
  <c r="O465" i="3"/>
  <c r="N464" i="3"/>
  <c r="M464" i="3"/>
  <c r="L464" i="3"/>
  <c r="K464" i="3"/>
  <c r="J464" i="3"/>
  <c r="I464" i="3"/>
  <c r="H464" i="3"/>
  <c r="O463" i="3"/>
  <c r="H463" i="3"/>
  <c r="P463" i="3" s="1"/>
  <c r="O462" i="3"/>
  <c r="O464" i="3" s="1"/>
  <c r="O461" i="3"/>
  <c r="N461" i="3"/>
  <c r="M461" i="3"/>
  <c r="L461" i="3"/>
  <c r="K461" i="3"/>
  <c r="J461" i="3"/>
  <c r="I461" i="3"/>
  <c r="H461" i="3"/>
  <c r="P460" i="3"/>
  <c r="P461" i="3" s="1"/>
  <c r="O460" i="3"/>
  <c r="H460" i="3"/>
  <c r="P459" i="3"/>
  <c r="O459" i="3"/>
  <c r="N458" i="3"/>
  <c r="M458" i="3"/>
  <c r="L458" i="3"/>
  <c r="K458" i="3"/>
  <c r="J458" i="3"/>
  <c r="I458" i="3"/>
  <c r="O457" i="3"/>
  <c r="P457" i="3" s="1"/>
  <c r="H457" i="3"/>
  <c r="H458" i="3" s="1"/>
  <c r="P456" i="3"/>
  <c r="O456" i="3"/>
  <c r="N455" i="3"/>
  <c r="M455" i="3"/>
  <c r="L455" i="3"/>
  <c r="K455" i="3"/>
  <c r="J455" i="3"/>
  <c r="I455" i="3"/>
  <c r="H455" i="3"/>
  <c r="O454" i="3"/>
  <c r="P454" i="3" s="1"/>
  <c r="P453" i="3"/>
  <c r="O453" i="3"/>
  <c r="N452" i="3"/>
  <c r="M452" i="3"/>
  <c r="L452" i="3"/>
  <c r="K452" i="3"/>
  <c r="J452" i="3"/>
  <c r="I452" i="3"/>
  <c r="H452" i="3"/>
  <c r="P451" i="3"/>
  <c r="O451" i="3"/>
  <c r="H451" i="3"/>
  <c r="O450" i="3"/>
  <c r="P449" i="3"/>
  <c r="O449" i="3"/>
  <c r="N449" i="3"/>
  <c r="M449" i="3"/>
  <c r="L449" i="3"/>
  <c r="K449" i="3"/>
  <c r="J449" i="3"/>
  <c r="I449" i="3"/>
  <c r="H449" i="3"/>
  <c r="P448" i="3"/>
  <c r="O448" i="3"/>
  <c r="P447" i="3"/>
  <c r="O447" i="3"/>
  <c r="N446" i="3"/>
  <c r="I446" i="3"/>
  <c r="H446" i="3"/>
  <c r="O445" i="3"/>
  <c r="H445" i="3"/>
  <c r="O444" i="3"/>
  <c r="O446" i="3" s="1"/>
  <c r="N444" i="3"/>
  <c r="M444" i="3"/>
  <c r="M446" i="3" s="1"/>
  <c r="L444" i="3"/>
  <c r="L446" i="3" s="1"/>
  <c r="K444" i="3"/>
  <c r="K446" i="3" s="1"/>
  <c r="J444" i="3"/>
  <c r="J446" i="3" s="1"/>
  <c r="I444" i="3"/>
  <c r="N443" i="3"/>
  <c r="M443" i="3"/>
  <c r="L443" i="3"/>
  <c r="K443" i="3"/>
  <c r="J443" i="3"/>
  <c r="H443" i="3"/>
  <c r="O442" i="3"/>
  <c r="I442" i="3"/>
  <c r="O441" i="3"/>
  <c r="L440" i="3"/>
  <c r="J440" i="3"/>
  <c r="I440" i="3"/>
  <c r="H440" i="3"/>
  <c r="P439" i="3"/>
  <c r="O439" i="3"/>
  <c r="O438" i="3"/>
  <c r="O440" i="3" s="1"/>
  <c r="N438" i="3"/>
  <c r="N440" i="3" s="1"/>
  <c r="M438" i="3"/>
  <c r="P438" i="3" s="1"/>
  <c r="P440" i="3" s="1"/>
  <c r="L438" i="3"/>
  <c r="K438" i="3"/>
  <c r="K440" i="3" s="1"/>
  <c r="J438" i="3"/>
  <c r="O437" i="3"/>
  <c r="M437" i="3"/>
  <c r="L437" i="3"/>
  <c r="I437" i="3"/>
  <c r="H437" i="3"/>
  <c r="P436" i="3"/>
  <c r="O436" i="3"/>
  <c r="O435" i="3"/>
  <c r="N435" i="3"/>
  <c r="N437" i="3" s="1"/>
  <c r="M435" i="3"/>
  <c r="L435" i="3"/>
  <c r="K435" i="3"/>
  <c r="J435" i="3"/>
  <c r="N434" i="3"/>
  <c r="M434" i="3"/>
  <c r="L434" i="3"/>
  <c r="K434" i="3"/>
  <c r="J434" i="3"/>
  <c r="I434" i="3"/>
  <c r="H434" i="3"/>
  <c r="P433" i="3"/>
  <c r="O433" i="3"/>
  <c r="H433" i="3"/>
  <c r="O432" i="3"/>
  <c r="O431" i="3"/>
  <c r="N431" i="3"/>
  <c r="M431" i="3"/>
  <c r="L431" i="3"/>
  <c r="K431" i="3"/>
  <c r="J431" i="3"/>
  <c r="I431" i="3"/>
  <c r="P430" i="3"/>
  <c r="O430" i="3"/>
  <c r="H430" i="3"/>
  <c r="H431" i="3" s="1"/>
  <c r="P429" i="3"/>
  <c r="P431" i="3" s="1"/>
  <c r="O429" i="3"/>
  <c r="N428" i="3"/>
  <c r="M428" i="3"/>
  <c r="L428" i="3"/>
  <c r="K428" i="3"/>
  <c r="J428" i="3"/>
  <c r="I428" i="3"/>
  <c r="H428" i="3"/>
  <c r="O427" i="3"/>
  <c r="H427" i="3"/>
  <c r="P427" i="3" s="1"/>
  <c r="P428" i="3" s="1"/>
  <c r="P426" i="3"/>
  <c r="O426" i="3"/>
  <c r="O428" i="3" s="1"/>
  <c r="O425" i="3"/>
  <c r="N425" i="3"/>
  <c r="M425" i="3"/>
  <c r="L425" i="3"/>
  <c r="K425" i="3"/>
  <c r="J425" i="3"/>
  <c r="I425" i="3"/>
  <c r="H425" i="3"/>
  <c r="P424" i="3"/>
  <c r="P425" i="3" s="1"/>
  <c r="O424" i="3"/>
  <c r="H424" i="3"/>
  <c r="P423" i="3"/>
  <c r="O423" i="3"/>
  <c r="N422" i="3"/>
  <c r="M422" i="3"/>
  <c r="L422" i="3"/>
  <c r="K422" i="3"/>
  <c r="J422" i="3"/>
  <c r="I422" i="3"/>
  <c r="O421" i="3"/>
  <c r="P421" i="3" s="1"/>
  <c r="H421" i="3"/>
  <c r="H422" i="3" s="1"/>
  <c r="P420" i="3"/>
  <c r="P422" i="3" s="1"/>
  <c r="O420" i="3"/>
  <c r="N419" i="3"/>
  <c r="M419" i="3"/>
  <c r="L419" i="3"/>
  <c r="K419" i="3"/>
  <c r="J419" i="3"/>
  <c r="I419" i="3"/>
  <c r="O418" i="3"/>
  <c r="H418" i="3"/>
  <c r="O417" i="3"/>
  <c r="N416" i="3"/>
  <c r="M416" i="3"/>
  <c r="L416" i="3"/>
  <c r="K416" i="3"/>
  <c r="J416" i="3"/>
  <c r="I416" i="3"/>
  <c r="O415" i="3"/>
  <c r="H415" i="3"/>
  <c r="P414" i="3"/>
  <c r="O414" i="3"/>
  <c r="O416" i="3" s="1"/>
  <c r="N413" i="3"/>
  <c r="M413" i="3"/>
  <c r="L413" i="3"/>
  <c r="K413" i="3"/>
  <c r="J413" i="3"/>
  <c r="I413" i="3"/>
  <c r="H413" i="3"/>
  <c r="P412" i="3"/>
  <c r="O412" i="3"/>
  <c r="H412" i="3"/>
  <c r="P411" i="3"/>
  <c r="P413" i="3" s="1"/>
  <c r="O411" i="3"/>
  <c r="O413" i="3" s="1"/>
  <c r="N410" i="3"/>
  <c r="M410" i="3"/>
  <c r="L410" i="3"/>
  <c r="K410" i="3"/>
  <c r="J410" i="3"/>
  <c r="I410" i="3"/>
  <c r="H410" i="3"/>
  <c r="P409" i="3"/>
  <c r="O409" i="3"/>
  <c r="H409" i="3"/>
  <c r="O408" i="3"/>
  <c r="O407" i="3"/>
  <c r="N407" i="3"/>
  <c r="M407" i="3"/>
  <c r="L407" i="3"/>
  <c r="K407" i="3"/>
  <c r="J407" i="3"/>
  <c r="I407" i="3"/>
  <c r="P406" i="3"/>
  <c r="O406" i="3"/>
  <c r="H406" i="3"/>
  <c r="H407" i="3" s="1"/>
  <c r="P405" i="3"/>
  <c r="P407" i="3" s="1"/>
  <c r="O404" i="3"/>
  <c r="N404" i="3"/>
  <c r="M404" i="3"/>
  <c r="L404" i="3"/>
  <c r="K404" i="3"/>
  <c r="J404" i="3"/>
  <c r="I404" i="3"/>
  <c r="O403" i="3"/>
  <c r="H403" i="3"/>
  <c r="H404" i="3" s="1"/>
  <c r="P402" i="3"/>
  <c r="O402" i="3"/>
  <c r="N401" i="3"/>
  <c r="M401" i="3"/>
  <c r="L401" i="3"/>
  <c r="K401" i="3"/>
  <c r="J401" i="3"/>
  <c r="I401" i="3"/>
  <c r="O400" i="3"/>
  <c r="P400" i="3" s="1"/>
  <c r="H400" i="3"/>
  <c r="P399" i="3"/>
  <c r="H399" i="3"/>
  <c r="H401" i="3" s="1"/>
  <c r="M398" i="3"/>
  <c r="K398" i="3"/>
  <c r="J398" i="3"/>
  <c r="O397" i="3"/>
  <c r="O398" i="3" s="1"/>
  <c r="N397" i="3"/>
  <c r="N398" i="3" s="1"/>
  <c r="M397" i="3"/>
  <c r="L397" i="3"/>
  <c r="L398" i="3" s="1"/>
  <c r="K397" i="3"/>
  <c r="J397" i="3"/>
  <c r="I397" i="3"/>
  <c r="I398" i="3" s="1"/>
  <c r="H397" i="3"/>
  <c r="H396" i="3"/>
  <c r="H398" i="3" s="1"/>
  <c r="N395" i="3"/>
  <c r="M395" i="3"/>
  <c r="L395" i="3"/>
  <c r="K395" i="3"/>
  <c r="J395" i="3"/>
  <c r="I395" i="3"/>
  <c r="H395" i="3"/>
  <c r="P394" i="3"/>
  <c r="O394" i="3"/>
  <c r="H394" i="3"/>
  <c r="O393" i="3"/>
  <c r="O392" i="3"/>
  <c r="N392" i="3"/>
  <c r="M392" i="3"/>
  <c r="L392" i="3"/>
  <c r="K392" i="3"/>
  <c r="J392" i="3"/>
  <c r="I392" i="3"/>
  <c r="H392" i="3"/>
  <c r="P391" i="3"/>
  <c r="P390" i="3"/>
  <c r="P392" i="3" s="1"/>
  <c r="N389" i="3"/>
  <c r="M389" i="3"/>
  <c r="L389" i="3"/>
  <c r="K389" i="3"/>
  <c r="J389" i="3"/>
  <c r="I389" i="3"/>
  <c r="H389" i="3"/>
  <c r="O388" i="3"/>
  <c r="P388" i="3" s="1"/>
  <c r="P387" i="3"/>
  <c r="P389" i="3" s="1"/>
  <c r="O387" i="3"/>
  <c r="P386" i="3"/>
  <c r="O386" i="3"/>
  <c r="N386" i="3"/>
  <c r="M386" i="3"/>
  <c r="L386" i="3"/>
  <c r="K386" i="3"/>
  <c r="J386" i="3"/>
  <c r="I386" i="3"/>
  <c r="H386" i="3"/>
  <c r="P385" i="3"/>
  <c r="P384" i="3"/>
  <c r="O383" i="3"/>
  <c r="N383" i="3"/>
  <c r="M383" i="3"/>
  <c r="L383" i="3"/>
  <c r="K383" i="3"/>
  <c r="J383" i="3"/>
  <c r="I383" i="3"/>
  <c r="H383" i="3"/>
  <c r="P382" i="3"/>
  <c r="P383" i="3" s="1"/>
  <c r="P381" i="3"/>
  <c r="N380" i="3"/>
  <c r="M380" i="3"/>
  <c r="L380" i="3"/>
  <c r="K380" i="3"/>
  <c r="J380" i="3"/>
  <c r="I380" i="3"/>
  <c r="H380" i="3"/>
  <c r="P379" i="3"/>
  <c r="O379" i="3"/>
  <c r="H379" i="3"/>
  <c r="O378" i="3"/>
  <c r="O380" i="3" s="1"/>
  <c r="N377" i="3"/>
  <c r="M377" i="3"/>
  <c r="L377" i="3"/>
  <c r="K377" i="3"/>
  <c r="J377" i="3"/>
  <c r="I377" i="3"/>
  <c r="H377" i="3"/>
  <c r="P376" i="3"/>
  <c r="O376" i="3"/>
  <c r="H376" i="3"/>
  <c r="O375" i="3"/>
  <c r="O374" i="3"/>
  <c r="N374" i="3"/>
  <c r="M374" i="3"/>
  <c r="L374" i="3"/>
  <c r="K374" i="3"/>
  <c r="J374" i="3"/>
  <c r="I374" i="3"/>
  <c r="P373" i="3"/>
  <c r="O373" i="3"/>
  <c r="H373" i="3"/>
  <c r="H374" i="3" s="1"/>
  <c r="P372" i="3"/>
  <c r="P374" i="3" s="1"/>
  <c r="O372" i="3"/>
  <c r="N371" i="3"/>
  <c r="M371" i="3"/>
  <c r="L371" i="3"/>
  <c r="K371" i="3"/>
  <c r="J371" i="3"/>
  <c r="I371" i="3"/>
  <c r="H371" i="3"/>
  <c r="O370" i="3"/>
  <c r="H370" i="3"/>
  <c r="P369" i="3"/>
  <c r="O369" i="3"/>
  <c r="O368" i="3"/>
  <c r="N368" i="3"/>
  <c r="M368" i="3"/>
  <c r="L368" i="3"/>
  <c r="K368" i="3"/>
  <c r="J368" i="3"/>
  <c r="I368" i="3"/>
  <c r="H368" i="3"/>
  <c r="P367" i="3"/>
  <c r="H367" i="3"/>
  <c r="P366" i="3"/>
  <c r="P368" i="3" s="1"/>
  <c r="O366" i="3"/>
  <c r="O365" i="3"/>
  <c r="N365" i="3"/>
  <c r="M365" i="3"/>
  <c r="J365" i="3"/>
  <c r="L364" i="3"/>
  <c r="L365" i="3" s="1"/>
  <c r="K364" i="3"/>
  <c r="K365" i="3" s="1"/>
  <c r="J364" i="3"/>
  <c r="I364" i="3"/>
  <c r="I365" i="3" s="1"/>
  <c r="H364" i="3"/>
  <c r="H365" i="3" s="1"/>
  <c r="P363" i="3"/>
  <c r="N362" i="3"/>
  <c r="M362" i="3"/>
  <c r="L362" i="3"/>
  <c r="K362" i="3"/>
  <c r="J362" i="3"/>
  <c r="I362" i="3"/>
  <c r="H362" i="3"/>
  <c r="O361" i="3"/>
  <c r="O362" i="3" s="1"/>
  <c r="H361" i="3"/>
  <c r="P360" i="3"/>
  <c r="O360" i="3"/>
  <c r="N359" i="3"/>
  <c r="M359" i="3"/>
  <c r="K359" i="3"/>
  <c r="O358" i="3"/>
  <c r="H358" i="3"/>
  <c r="P358" i="3" s="1"/>
  <c r="O357" i="3"/>
  <c r="O359" i="3" s="1"/>
  <c r="N357" i="3"/>
  <c r="M357" i="3"/>
  <c r="L357" i="3"/>
  <c r="L359" i="3" s="1"/>
  <c r="K357" i="3"/>
  <c r="J357" i="3"/>
  <c r="J359" i="3" s="1"/>
  <c r="I357" i="3"/>
  <c r="I359" i="3" s="1"/>
  <c r="H357" i="3"/>
  <c r="N356" i="3"/>
  <c r="M356" i="3"/>
  <c r="L356" i="3"/>
  <c r="K356" i="3"/>
  <c r="J356" i="3"/>
  <c r="I356" i="3"/>
  <c r="H356" i="3"/>
  <c r="P355" i="3"/>
  <c r="O355" i="3"/>
  <c r="H355" i="3"/>
  <c r="P354" i="3"/>
  <c r="P356" i="3" s="1"/>
  <c r="O354" i="3"/>
  <c r="O356" i="3" s="1"/>
  <c r="N353" i="3"/>
  <c r="M353" i="3"/>
  <c r="L353" i="3"/>
  <c r="K353" i="3"/>
  <c r="J353" i="3"/>
  <c r="I353" i="3"/>
  <c r="H353" i="3"/>
  <c r="P352" i="3"/>
  <c r="O352" i="3"/>
  <c r="H352" i="3"/>
  <c r="O351" i="3"/>
  <c r="O350" i="3"/>
  <c r="N350" i="3"/>
  <c r="M350" i="3"/>
  <c r="L350" i="3"/>
  <c r="K350" i="3"/>
  <c r="J350" i="3"/>
  <c r="I350" i="3"/>
  <c r="P349" i="3"/>
  <c r="O349" i="3"/>
  <c r="H349" i="3"/>
  <c r="H350" i="3" s="1"/>
  <c r="P348" i="3"/>
  <c r="O348" i="3"/>
  <c r="O347" i="3"/>
  <c r="N347" i="3"/>
  <c r="M347" i="3"/>
  <c r="L347" i="3"/>
  <c r="K347" i="3"/>
  <c r="J347" i="3"/>
  <c r="I347" i="3"/>
  <c r="H347" i="3"/>
  <c r="P346" i="3"/>
  <c r="P345" i="3"/>
  <c r="P347" i="3" s="1"/>
  <c r="O344" i="3"/>
  <c r="N344" i="3"/>
  <c r="M344" i="3"/>
  <c r="L344" i="3"/>
  <c r="K344" i="3"/>
  <c r="J344" i="3"/>
  <c r="I344" i="3"/>
  <c r="H344" i="3"/>
  <c r="P343" i="3"/>
  <c r="P342" i="3"/>
  <c r="P344" i="3" s="1"/>
  <c r="N341" i="3"/>
  <c r="M341" i="3"/>
  <c r="L341" i="3"/>
  <c r="K341" i="3"/>
  <c r="J341" i="3"/>
  <c r="I341" i="3"/>
  <c r="H341" i="3"/>
  <c r="O340" i="3"/>
  <c r="P340" i="3" s="1"/>
  <c r="P339" i="3"/>
  <c r="P341" i="3" s="1"/>
  <c r="O339" i="3"/>
  <c r="O341" i="3" s="1"/>
  <c r="N338" i="3"/>
  <c r="M338" i="3"/>
  <c r="L338" i="3"/>
  <c r="K338" i="3"/>
  <c r="J338" i="3"/>
  <c r="I338" i="3"/>
  <c r="H338" i="3"/>
  <c r="O337" i="3"/>
  <c r="O338" i="3" s="1"/>
  <c r="H337" i="3"/>
  <c r="P336" i="3"/>
  <c r="O336" i="3"/>
  <c r="N335" i="3"/>
  <c r="M335" i="3"/>
  <c r="L335" i="3"/>
  <c r="K335" i="3"/>
  <c r="J335" i="3"/>
  <c r="I335" i="3"/>
  <c r="H335" i="3"/>
  <c r="O334" i="3"/>
  <c r="P334" i="3" s="1"/>
  <c r="P333" i="3"/>
  <c r="P335" i="3" s="1"/>
  <c r="O333" i="3"/>
  <c r="O335" i="3" s="1"/>
  <c r="P332" i="3"/>
  <c r="O332" i="3"/>
  <c r="N332" i="3"/>
  <c r="M332" i="3"/>
  <c r="L332" i="3"/>
  <c r="K332" i="3"/>
  <c r="J332" i="3"/>
  <c r="I332" i="3"/>
  <c r="H332" i="3"/>
  <c r="P331" i="3"/>
  <c r="P330" i="3"/>
  <c r="N329" i="3"/>
  <c r="M329" i="3"/>
  <c r="L329" i="3"/>
  <c r="K329" i="3"/>
  <c r="J329" i="3"/>
  <c r="I329" i="3"/>
  <c r="H329" i="3"/>
  <c r="P328" i="3"/>
  <c r="O328" i="3"/>
  <c r="O327" i="3"/>
  <c r="O329" i="3" s="1"/>
  <c r="N326" i="3"/>
  <c r="M326" i="3"/>
  <c r="L326" i="3"/>
  <c r="K326" i="3"/>
  <c r="J326" i="3"/>
  <c r="I326" i="3"/>
  <c r="O325" i="3"/>
  <c r="H325" i="3"/>
  <c r="O324" i="3"/>
  <c r="N323" i="3"/>
  <c r="M323" i="3"/>
  <c r="L323" i="3"/>
  <c r="K323" i="3"/>
  <c r="J323" i="3"/>
  <c r="I323" i="3"/>
  <c r="O322" i="3"/>
  <c r="H322" i="3"/>
  <c r="P321" i="3"/>
  <c r="O321" i="3"/>
  <c r="O323" i="3" s="1"/>
  <c r="N320" i="3"/>
  <c r="M320" i="3"/>
  <c r="L320" i="3"/>
  <c r="K320" i="3"/>
  <c r="J320" i="3"/>
  <c r="I320" i="3"/>
  <c r="H320" i="3"/>
  <c r="P319" i="3"/>
  <c r="O319" i="3"/>
  <c r="H319" i="3"/>
  <c r="O318" i="3"/>
  <c r="O320" i="3" s="1"/>
  <c r="O317" i="3"/>
  <c r="N317" i="3"/>
  <c r="M317" i="3"/>
  <c r="L317" i="3"/>
  <c r="K317" i="3"/>
  <c r="J317" i="3"/>
  <c r="H317" i="3"/>
  <c r="P316" i="3"/>
  <c r="J315" i="3"/>
  <c r="I315" i="3"/>
  <c r="I317" i="3" s="1"/>
  <c r="H315" i="3"/>
  <c r="P315" i="3" s="1"/>
  <c r="P317" i="3" s="1"/>
  <c r="N314" i="3"/>
  <c r="M314" i="3"/>
  <c r="L314" i="3"/>
  <c r="K314" i="3"/>
  <c r="J314" i="3"/>
  <c r="I314" i="3"/>
  <c r="O313" i="3"/>
  <c r="P313" i="3" s="1"/>
  <c r="H313" i="3"/>
  <c r="H314" i="3" s="1"/>
  <c r="P312" i="3"/>
  <c r="P314" i="3" s="1"/>
  <c r="O312" i="3"/>
  <c r="N311" i="3"/>
  <c r="M311" i="3"/>
  <c r="H311" i="3"/>
  <c r="O310" i="3"/>
  <c r="H310" i="3"/>
  <c r="O309" i="3"/>
  <c r="N309" i="3"/>
  <c r="M309" i="3"/>
  <c r="M501" i="3" s="1"/>
  <c r="L309" i="3"/>
  <c r="K309" i="3"/>
  <c r="K311" i="3" s="1"/>
  <c r="J309" i="3"/>
  <c r="I309" i="3"/>
  <c r="H309" i="3"/>
  <c r="O308" i="3"/>
  <c r="L308" i="3"/>
  <c r="H308" i="3"/>
  <c r="P307" i="3"/>
  <c r="N307" i="3"/>
  <c r="N308" i="3" s="1"/>
  <c r="M307" i="3"/>
  <c r="M308" i="3" s="1"/>
  <c r="L307" i="3"/>
  <c r="K307" i="3"/>
  <c r="K308" i="3" s="1"/>
  <c r="J307" i="3"/>
  <c r="J308" i="3" s="1"/>
  <c r="I307" i="3"/>
  <c r="I308" i="3" s="1"/>
  <c r="P306" i="3"/>
  <c r="P305" i="3"/>
  <c r="O305" i="3"/>
  <c r="N305" i="3"/>
  <c r="M305" i="3"/>
  <c r="L305" i="3"/>
  <c r="K305" i="3"/>
  <c r="J305" i="3"/>
  <c r="I305" i="3"/>
  <c r="H305" i="3"/>
  <c r="P304" i="3"/>
  <c r="P303" i="3"/>
  <c r="M302" i="3"/>
  <c r="J302" i="3"/>
  <c r="I302" i="3"/>
  <c r="H302" i="3"/>
  <c r="N301" i="3"/>
  <c r="N302" i="3" s="1"/>
  <c r="M301" i="3"/>
  <c r="L301" i="3"/>
  <c r="L302" i="3" s="1"/>
  <c r="K301" i="3"/>
  <c r="K302" i="3" s="1"/>
  <c r="J301" i="3"/>
  <c r="I301" i="3"/>
  <c r="P300" i="3"/>
  <c r="O300" i="3"/>
  <c r="O302" i="3" s="1"/>
  <c r="O299" i="3"/>
  <c r="L299" i="3"/>
  <c r="N298" i="3"/>
  <c r="N299" i="3" s="1"/>
  <c r="M298" i="3"/>
  <c r="L298" i="3"/>
  <c r="K298" i="3"/>
  <c r="K299" i="3" s="1"/>
  <c r="J298" i="3"/>
  <c r="J299" i="3" s="1"/>
  <c r="I298" i="3"/>
  <c r="I299" i="3" s="1"/>
  <c r="H298" i="3"/>
  <c r="H299" i="3" s="1"/>
  <c r="P297" i="3"/>
  <c r="O296" i="3"/>
  <c r="N296" i="3"/>
  <c r="M296" i="3"/>
  <c r="L296" i="3"/>
  <c r="K296" i="3"/>
  <c r="J296" i="3"/>
  <c r="H296" i="3"/>
  <c r="P295" i="3"/>
  <c r="P296" i="3" s="1"/>
  <c r="I295" i="3"/>
  <c r="I296" i="3" s="1"/>
  <c r="H295" i="3"/>
  <c r="P294" i="3"/>
  <c r="O293" i="3"/>
  <c r="N293" i="3"/>
  <c r="M293" i="3"/>
  <c r="L293" i="3"/>
  <c r="K293" i="3"/>
  <c r="H293" i="3"/>
  <c r="J292" i="3"/>
  <c r="J293" i="3" s="1"/>
  <c r="I292" i="3"/>
  <c r="I293" i="3" s="1"/>
  <c r="H292" i="3"/>
  <c r="P291" i="3"/>
  <c r="O290" i="3"/>
  <c r="N289" i="3"/>
  <c r="N290" i="3" s="1"/>
  <c r="M289" i="3"/>
  <c r="M290" i="3" s="1"/>
  <c r="L289" i="3"/>
  <c r="L290" i="3" s="1"/>
  <c r="K289" i="3"/>
  <c r="K290" i="3" s="1"/>
  <c r="J289" i="3"/>
  <c r="J290" i="3" s="1"/>
  <c r="I289" i="3"/>
  <c r="I290" i="3" s="1"/>
  <c r="H289" i="3"/>
  <c r="H290" i="3" s="1"/>
  <c r="P288" i="3"/>
  <c r="O288" i="3"/>
  <c r="I287" i="3"/>
  <c r="H287" i="3"/>
  <c r="N286" i="3"/>
  <c r="N287" i="3" s="1"/>
  <c r="M286" i="3"/>
  <c r="M287" i="3" s="1"/>
  <c r="L286" i="3"/>
  <c r="L287" i="3" s="1"/>
  <c r="K286" i="3"/>
  <c r="K287" i="3" s="1"/>
  <c r="J286" i="3"/>
  <c r="J287" i="3" s="1"/>
  <c r="I286" i="3"/>
  <c r="H286" i="3"/>
  <c r="P285" i="3"/>
  <c r="O285" i="3"/>
  <c r="O287" i="3" s="1"/>
  <c r="O284" i="3"/>
  <c r="N284" i="3"/>
  <c r="M284" i="3"/>
  <c r="L284" i="3"/>
  <c r="K284" i="3"/>
  <c r="J284" i="3"/>
  <c r="I284" i="3"/>
  <c r="H284" i="3"/>
  <c r="P283" i="3"/>
  <c r="P284" i="3" s="1"/>
  <c r="H283" i="3"/>
  <c r="P282" i="3"/>
  <c r="L281" i="3"/>
  <c r="N280" i="3"/>
  <c r="N281" i="3" s="1"/>
  <c r="M280" i="3"/>
  <c r="M281" i="3" s="1"/>
  <c r="L280" i="3"/>
  <c r="K280" i="3"/>
  <c r="K281" i="3" s="1"/>
  <c r="J280" i="3"/>
  <c r="J281" i="3" s="1"/>
  <c r="I280" i="3"/>
  <c r="I281" i="3" s="1"/>
  <c r="H280" i="3"/>
  <c r="H281" i="3" s="1"/>
  <c r="P279" i="3"/>
  <c r="O279" i="3"/>
  <c r="O281" i="3" s="1"/>
  <c r="O278" i="3"/>
  <c r="H278" i="3"/>
  <c r="N277" i="3"/>
  <c r="N278" i="3" s="1"/>
  <c r="M277" i="3"/>
  <c r="M278" i="3" s="1"/>
  <c r="L277" i="3"/>
  <c r="L278" i="3" s="1"/>
  <c r="K277" i="3"/>
  <c r="K278" i="3" s="1"/>
  <c r="J277" i="3"/>
  <c r="J278" i="3" s="1"/>
  <c r="I277" i="3"/>
  <c r="I278" i="3" s="1"/>
  <c r="H277" i="3"/>
  <c r="P276" i="3"/>
  <c r="N275" i="3"/>
  <c r="M275" i="3"/>
  <c r="L275" i="3"/>
  <c r="K275" i="3"/>
  <c r="J275" i="3"/>
  <c r="I275" i="3"/>
  <c r="H275" i="3"/>
  <c r="P274" i="3"/>
  <c r="O274" i="3"/>
  <c r="O273" i="3"/>
  <c r="O272" i="3"/>
  <c r="N272" i="3"/>
  <c r="M272" i="3"/>
  <c r="L272" i="3"/>
  <c r="K272" i="3"/>
  <c r="I272" i="3"/>
  <c r="H272" i="3"/>
  <c r="P271" i="3"/>
  <c r="J271" i="3"/>
  <c r="J272" i="3" s="1"/>
  <c r="I271" i="3"/>
  <c r="P270" i="3"/>
  <c r="P272" i="3" s="1"/>
  <c r="O269" i="3"/>
  <c r="H269" i="3"/>
  <c r="N268" i="3"/>
  <c r="N269" i="3" s="1"/>
  <c r="M268" i="3"/>
  <c r="M269" i="3" s="1"/>
  <c r="L268" i="3"/>
  <c r="K268" i="3"/>
  <c r="K269" i="3" s="1"/>
  <c r="J268" i="3"/>
  <c r="J269" i="3" s="1"/>
  <c r="I268" i="3"/>
  <c r="I269" i="3" s="1"/>
  <c r="P267" i="3"/>
  <c r="O266" i="3"/>
  <c r="N266" i="3"/>
  <c r="J266" i="3"/>
  <c r="H266" i="3"/>
  <c r="M265" i="3"/>
  <c r="M266" i="3" s="1"/>
  <c r="L265" i="3"/>
  <c r="L266" i="3" s="1"/>
  <c r="K265" i="3"/>
  <c r="K266" i="3" s="1"/>
  <c r="J265" i="3"/>
  <c r="I265" i="3"/>
  <c r="P264" i="3"/>
  <c r="O263" i="3"/>
  <c r="N263" i="3"/>
  <c r="K263" i="3"/>
  <c r="H263" i="3"/>
  <c r="P262" i="3"/>
  <c r="P263" i="3" s="1"/>
  <c r="M262" i="3"/>
  <c r="M263" i="3" s="1"/>
  <c r="L262" i="3"/>
  <c r="L263" i="3" s="1"/>
  <c r="K262" i="3"/>
  <c r="J262" i="3"/>
  <c r="J263" i="3" s="1"/>
  <c r="I262" i="3"/>
  <c r="I263" i="3" s="1"/>
  <c r="P261" i="3"/>
  <c r="I260" i="3"/>
  <c r="H260" i="3"/>
  <c r="N259" i="3"/>
  <c r="N260" i="3" s="1"/>
  <c r="M259" i="3"/>
  <c r="M260" i="3" s="1"/>
  <c r="L259" i="3"/>
  <c r="L260" i="3" s="1"/>
  <c r="K259" i="3"/>
  <c r="K260" i="3" s="1"/>
  <c r="J259" i="3"/>
  <c r="J260" i="3" s="1"/>
  <c r="I259" i="3"/>
  <c r="P258" i="3"/>
  <c r="O258" i="3"/>
  <c r="O260" i="3" s="1"/>
  <c r="O257" i="3"/>
  <c r="N257" i="3"/>
  <c r="L257" i="3"/>
  <c r="K257" i="3"/>
  <c r="H257" i="3"/>
  <c r="M256" i="3"/>
  <c r="M257" i="3" s="1"/>
  <c r="L256" i="3"/>
  <c r="K256" i="3"/>
  <c r="J256" i="3"/>
  <c r="J257" i="3" s="1"/>
  <c r="I256" i="3"/>
  <c r="I257" i="3" s="1"/>
  <c r="P255" i="3"/>
  <c r="O254" i="3"/>
  <c r="N254" i="3"/>
  <c r="M254" i="3"/>
  <c r="L254" i="3"/>
  <c r="H254" i="3"/>
  <c r="P253" i="3"/>
  <c r="M253" i="3"/>
  <c r="L253" i="3"/>
  <c r="K253" i="3"/>
  <c r="K254" i="3" s="1"/>
  <c r="J253" i="3"/>
  <c r="J254" i="3" s="1"/>
  <c r="I253" i="3"/>
  <c r="I254" i="3" s="1"/>
  <c r="H253" i="3"/>
  <c r="P252" i="3"/>
  <c r="O251" i="3"/>
  <c r="N251" i="3"/>
  <c r="M251" i="3"/>
  <c r="L251" i="3"/>
  <c r="K251" i="3"/>
  <c r="J251" i="3"/>
  <c r="I251" i="3"/>
  <c r="H251" i="3"/>
  <c r="P250" i="3"/>
  <c r="P249" i="3"/>
  <c r="K248" i="3"/>
  <c r="J248" i="3"/>
  <c r="N247" i="3"/>
  <c r="N248" i="3" s="1"/>
  <c r="M247" i="3"/>
  <c r="M248" i="3" s="1"/>
  <c r="L247" i="3"/>
  <c r="L248" i="3" s="1"/>
  <c r="K247" i="3"/>
  <c r="J247" i="3"/>
  <c r="I247" i="3"/>
  <c r="I248" i="3" s="1"/>
  <c r="H247" i="3"/>
  <c r="H248" i="3" s="1"/>
  <c r="O246" i="3"/>
  <c r="O245" i="3"/>
  <c r="N245" i="3"/>
  <c r="I245" i="3"/>
  <c r="N244" i="3"/>
  <c r="M244" i="3"/>
  <c r="M245" i="3" s="1"/>
  <c r="L244" i="3"/>
  <c r="L245" i="3" s="1"/>
  <c r="K244" i="3"/>
  <c r="K245" i="3" s="1"/>
  <c r="J244" i="3"/>
  <c r="I244" i="3"/>
  <c r="H244" i="3"/>
  <c r="H245" i="3" s="1"/>
  <c r="O243" i="3"/>
  <c r="P243" i="3" s="1"/>
  <c r="O242" i="3"/>
  <c r="N242" i="3"/>
  <c r="M242" i="3"/>
  <c r="L242" i="3"/>
  <c r="K242" i="3"/>
  <c r="J242" i="3"/>
  <c r="I242" i="3"/>
  <c r="H242" i="3"/>
  <c r="P241" i="3"/>
  <c r="P240" i="3"/>
  <c r="P242" i="3" s="1"/>
  <c r="M239" i="3"/>
  <c r="J239" i="3"/>
  <c r="I239" i="3"/>
  <c r="O238" i="3"/>
  <c r="N238" i="3"/>
  <c r="N239" i="3" s="1"/>
  <c r="M238" i="3"/>
  <c r="L238" i="3"/>
  <c r="L239" i="3" s="1"/>
  <c r="K238" i="3"/>
  <c r="K239" i="3" s="1"/>
  <c r="J238" i="3"/>
  <c r="I238" i="3"/>
  <c r="H238" i="3"/>
  <c r="H239" i="3" s="1"/>
  <c r="O237" i="3"/>
  <c r="O239" i="3" s="1"/>
  <c r="N235" i="3"/>
  <c r="N236" i="3" s="1"/>
  <c r="M235" i="3"/>
  <c r="M236" i="3" s="1"/>
  <c r="L235" i="3"/>
  <c r="L236" i="3" s="1"/>
  <c r="K235" i="3"/>
  <c r="K236" i="3" s="1"/>
  <c r="J235" i="3"/>
  <c r="J236" i="3" s="1"/>
  <c r="I235" i="3"/>
  <c r="I236" i="3" s="1"/>
  <c r="H235" i="3"/>
  <c r="H236" i="3" s="1"/>
  <c r="O234" i="3"/>
  <c r="O236" i="3" s="1"/>
  <c r="J233" i="3"/>
  <c r="N232" i="3"/>
  <c r="N233" i="3" s="1"/>
  <c r="M232" i="3"/>
  <c r="M233" i="3" s="1"/>
  <c r="L232" i="3"/>
  <c r="L233" i="3" s="1"/>
  <c r="K232" i="3"/>
  <c r="K233" i="3" s="1"/>
  <c r="J232" i="3"/>
  <c r="I232" i="3"/>
  <c r="I233" i="3" s="1"/>
  <c r="H232" i="3"/>
  <c r="H233" i="3" s="1"/>
  <c r="O231" i="3"/>
  <c r="O233" i="3" s="1"/>
  <c r="N229" i="3"/>
  <c r="N230" i="3" s="1"/>
  <c r="M229" i="3"/>
  <c r="M230" i="3" s="1"/>
  <c r="L229" i="3"/>
  <c r="L230" i="3" s="1"/>
  <c r="K229" i="3"/>
  <c r="K230" i="3" s="1"/>
  <c r="J229" i="3"/>
  <c r="J230" i="3" s="1"/>
  <c r="I229" i="3"/>
  <c r="I230" i="3" s="1"/>
  <c r="H229" i="3"/>
  <c r="H230" i="3" s="1"/>
  <c r="O228" i="3"/>
  <c r="O230" i="3" s="1"/>
  <c r="O227" i="3"/>
  <c r="N227" i="3"/>
  <c r="M227" i="3"/>
  <c r="L227" i="3"/>
  <c r="K227" i="3"/>
  <c r="J227" i="3"/>
  <c r="I227" i="3"/>
  <c r="H227" i="3"/>
  <c r="P226" i="3"/>
  <c r="P225" i="3"/>
  <c r="P227" i="3" s="1"/>
  <c r="N224" i="3"/>
  <c r="H224" i="3"/>
  <c r="P223" i="3"/>
  <c r="N223" i="3"/>
  <c r="M223" i="3"/>
  <c r="M224" i="3" s="1"/>
  <c r="L223" i="3"/>
  <c r="L224" i="3" s="1"/>
  <c r="K223" i="3"/>
  <c r="K224" i="3" s="1"/>
  <c r="J223" i="3"/>
  <c r="J224" i="3" s="1"/>
  <c r="I223" i="3"/>
  <c r="I224" i="3" s="1"/>
  <c r="O222" i="3"/>
  <c r="P222" i="3" s="1"/>
  <c r="I221" i="3"/>
  <c r="H221" i="3"/>
  <c r="N220" i="3"/>
  <c r="N221" i="3" s="1"/>
  <c r="M220" i="3"/>
  <c r="M221" i="3" s="1"/>
  <c r="L220" i="3"/>
  <c r="L221" i="3" s="1"/>
  <c r="K220" i="3"/>
  <c r="K221" i="3" s="1"/>
  <c r="J220" i="3"/>
  <c r="J221" i="3" s="1"/>
  <c r="I220" i="3"/>
  <c r="O219" i="3"/>
  <c r="P219" i="3" s="1"/>
  <c r="O218" i="3"/>
  <c r="M218" i="3"/>
  <c r="N217" i="3"/>
  <c r="N218" i="3" s="1"/>
  <c r="M217" i="3"/>
  <c r="L217" i="3"/>
  <c r="L218" i="3" s="1"/>
  <c r="K217" i="3"/>
  <c r="K218" i="3" s="1"/>
  <c r="J217" i="3"/>
  <c r="J218" i="3" s="1"/>
  <c r="I217" i="3"/>
  <c r="I218" i="3" s="1"/>
  <c r="H217" i="3"/>
  <c r="H218" i="3" s="1"/>
  <c r="P216" i="3"/>
  <c r="P215" i="3"/>
  <c r="O215" i="3"/>
  <c r="N215" i="3"/>
  <c r="M215" i="3"/>
  <c r="L215" i="3"/>
  <c r="K215" i="3"/>
  <c r="H215" i="3"/>
  <c r="P214" i="3"/>
  <c r="L214" i="3"/>
  <c r="K214" i="3"/>
  <c r="J214" i="3"/>
  <c r="J215" i="3" s="1"/>
  <c r="I214" i="3"/>
  <c r="I215" i="3" s="1"/>
  <c r="P213" i="3"/>
  <c r="O212" i="3"/>
  <c r="N212" i="3"/>
  <c r="M212" i="3"/>
  <c r="L212" i="3"/>
  <c r="K212" i="3"/>
  <c r="H212" i="3"/>
  <c r="P211" i="3"/>
  <c r="P212" i="3" s="1"/>
  <c r="L211" i="3"/>
  <c r="K211" i="3"/>
  <c r="J211" i="3"/>
  <c r="J212" i="3" s="1"/>
  <c r="I211" i="3"/>
  <c r="I212" i="3" s="1"/>
  <c r="P210" i="3"/>
  <c r="P209" i="3"/>
  <c r="O209" i="3"/>
  <c r="N209" i="3"/>
  <c r="M209" i="3"/>
  <c r="L209" i="3"/>
  <c r="K209" i="3"/>
  <c r="H209" i="3"/>
  <c r="P208" i="3"/>
  <c r="L208" i="3"/>
  <c r="K208" i="3"/>
  <c r="J208" i="3"/>
  <c r="J209" i="3" s="1"/>
  <c r="I208" i="3"/>
  <c r="I209" i="3" s="1"/>
  <c r="H208" i="3"/>
  <c r="P207" i="3"/>
  <c r="I206" i="3"/>
  <c r="N205" i="3"/>
  <c r="N206" i="3" s="1"/>
  <c r="M205" i="3"/>
  <c r="M206" i="3" s="1"/>
  <c r="L205" i="3"/>
  <c r="L206" i="3" s="1"/>
  <c r="K205" i="3"/>
  <c r="K206" i="3" s="1"/>
  <c r="J205" i="3"/>
  <c r="J206" i="3" s="1"/>
  <c r="I205" i="3"/>
  <c r="H205" i="3"/>
  <c r="P205" i="3" s="1"/>
  <c r="P206" i="3" s="1"/>
  <c r="P204" i="3"/>
  <c r="O204" i="3"/>
  <c r="O206" i="3" s="1"/>
  <c r="L203" i="3"/>
  <c r="N202" i="3"/>
  <c r="N203" i="3" s="1"/>
  <c r="M202" i="3"/>
  <c r="M203" i="3" s="1"/>
  <c r="L202" i="3"/>
  <c r="K202" i="3"/>
  <c r="K203" i="3" s="1"/>
  <c r="J202" i="3"/>
  <c r="J203" i="3" s="1"/>
  <c r="I202" i="3"/>
  <c r="I203" i="3" s="1"/>
  <c r="H202" i="3"/>
  <c r="H203" i="3" s="1"/>
  <c r="O201" i="3"/>
  <c r="O203" i="3" s="1"/>
  <c r="H200" i="3"/>
  <c r="N199" i="3"/>
  <c r="N200" i="3" s="1"/>
  <c r="M199" i="3"/>
  <c r="M200" i="3" s="1"/>
  <c r="L199" i="3"/>
  <c r="L200" i="3" s="1"/>
  <c r="K199" i="3"/>
  <c r="K200" i="3" s="1"/>
  <c r="J199" i="3"/>
  <c r="J200" i="3" s="1"/>
  <c r="I199" i="3"/>
  <c r="I200" i="3" s="1"/>
  <c r="H199" i="3"/>
  <c r="P198" i="3"/>
  <c r="O198" i="3"/>
  <c r="O200" i="3" s="1"/>
  <c r="M197" i="3"/>
  <c r="N196" i="3"/>
  <c r="N197" i="3" s="1"/>
  <c r="M196" i="3"/>
  <c r="L196" i="3"/>
  <c r="L197" i="3" s="1"/>
  <c r="K196" i="3"/>
  <c r="K197" i="3" s="1"/>
  <c r="J196" i="3"/>
  <c r="J197" i="3" s="1"/>
  <c r="I196" i="3"/>
  <c r="I197" i="3" s="1"/>
  <c r="H196" i="3"/>
  <c r="H197" i="3" s="1"/>
  <c r="O195" i="3"/>
  <c r="O197" i="3" s="1"/>
  <c r="O194" i="3"/>
  <c r="H194" i="3"/>
  <c r="N193" i="3"/>
  <c r="N194" i="3" s="1"/>
  <c r="M193" i="3"/>
  <c r="M194" i="3" s="1"/>
  <c r="L193" i="3"/>
  <c r="L194" i="3" s="1"/>
  <c r="K193" i="3"/>
  <c r="K194" i="3" s="1"/>
  <c r="J193" i="3"/>
  <c r="J194" i="3" s="1"/>
  <c r="I193" i="3"/>
  <c r="I194" i="3" s="1"/>
  <c r="H193" i="3"/>
  <c r="P192" i="3"/>
  <c r="O192" i="3"/>
  <c r="O191" i="3"/>
  <c r="N191" i="3"/>
  <c r="M191" i="3"/>
  <c r="L191" i="3"/>
  <c r="K191" i="3"/>
  <c r="J190" i="3"/>
  <c r="J191" i="3" s="1"/>
  <c r="I190" i="3"/>
  <c r="I191" i="3" s="1"/>
  <c r="H190" i="3"/>
  <c r="P189" i="3"/>
  <c r="O188" i="3"/>
  <c r="L188" i="3"/>
  <c r="K188" i="3"/>
  <c r="J188" i="3"/>
  <c r="H188" i="3"/>
  <c r="O187" i="3"/>
  <c r="N187" i="3"/>
  <c r="N188" i="3" s="1"/>
  <c r="M187" i="3"/>
  <c r="M188" i="3" s="1"/>
  <c r="L187" i="3"/>
  <c r="K187" i="3"/>
  <c r="J187" i="3"/>
  <c r="I187" i="3"/>
  <c r="I188" i="3" s="1"/>
  <c r="P186" i="3"/>
  <c r="O185" i="3"/>
  <c r="N185" i="3"/>
  <c r="P184" i="3"/>
  <c r="N184" i="3"/>
  <c r="M184" i="3"/>
  <c r="M185" i="3" s="1"/>
  <c r="L184" i="3"/>
  <c r="L185" i="3" s="1"/>
  <c r="K184" i="3"/>
  <c r="K185" i="3" s="1"/>
  <c r="J184" i="3"/>
  <c r="J185" i="3" s="1"/>
  <c r="I184" i="3"/>
  <c r="I185" i="3" s="1"/>
  <c r="H184" i="3"/>
  <c r="H185" i="3" s="1"/>
  <c r="P183" i="3"/>
  <c r="P185" i="3" s="1"/>
  <c r="O183" i="3"/>
  <c r="N182" i="3"/>
  <c r="J182" i="3"/>
  <c r="I182" i="3"/>
  <c r="O181" i="3"/>
  <c r="O182" i="3" s="1"/>
  <c r="N181" i="3"/>
  <c r="M181" i="3"/>
  <c r="M182" i="3" s="1"/>
  <c r="L181" i="3"/>
  <c r="L182" i="3" s="1"/>
  <c r="K181" i="3"/>
  <c r="K182" i="3" s="1"/>
  <c r="J181" i="3"/>
  <c r="I181" i="3"/>
  <c r="H181" i="3"/>
  <c r="H182" i="3" s="1"/>
  <c r="P180" i="3"/>
  <c r="N178" i="3"/>
  <c r="N179" i="3" s="1"/>
  <c r="M178" i="3"/>
  <c r="M179" i="3" s="1"/>
  <c r="L178" i="3"/>
  <c r="L179" i="3" s="1"/>
  <c r="K178" i="3"/>
  <c r="K179" i="3" s="1"/>
  <c r="J178" i="3"/>
  <c r="J179" i="3" s="1"/>
  <c r="I178" i="3"/>
  <c r="I179" i="3" s="1"/>
  <c r="H178" i="3"/>
  <c r="H179" i="3" s="1"/>
  <c r="O177" i="3"/>
  <c r="O179" i="3" s="1"/>
  <c r="N176" i="3"/>
  <c r="K176" i="3"/>
  <c r="J176" i="3"/>
  <c r="I176" i="3"/>
  <c r="O175" i="3"/>
  <c r="O176" i="3" s="1"/>
  <c r="N175" i="3"/>
  <c r="M175" i="3"/>
  <c r="M176" i="3" s="1"/>
  <c r="L175" i="3"/>
  <c r="L176" i="3" s="1"/>
  <c r="K175" i="3"/>
  <c r="J175" i="3"/>
  <c r="I175" i="3"/>
  <c r="H175" i="3"/>
  <c r="H176" i="3" s="1"/>
  <c r="P174" i="3"/>
  <c r="O173" i="3"/>
  <c r="N173" i="3"/>
  <c r="P172" i="3"/>
  <c r="N172" i="3"/>
  <c r="M172" i="3"/>
  <c r="M173" i="3" s="1"/>
  <c r="L172" i="3"/>
  <c r="L173" i="3" s="1"/>
  <c r="K172" i="3"/>
  <c r="K173" i="3" s="1"/>
  <c r="J172" i="3"/>
  <c r="J173" i="3" s="1"/>
  <c r="I172" i="3"/>
  <c r="I173" i="3" s="1"/>
  <c r="H172" i="3"/>
  <c r="H173" i="3" s="1"/>
  <c r="P171" i="3"/>
  <c r="P173" i="3" s="1"/>
  <c r="O170" i="3"/>
  <c r="I170" i="3"/>
  <c r="H170" i="3"/>
  <c r="N169" i="3"/>
  <c r="N170" i="3" s="1"/>
  <c r="M169" i="3"/>
  <c r="M170" i="3" s="1"/>
  <c r="L169" i="3"/>
  <c r="L170" i="3" s="1"/>
  <c r="K169" i="3"/>
  <c r="K170" i="3" s="1"/>
  <c r="J169" i="3"/>
  <c r="J170" i="3" s="1"/>
  <c r="I169" i="3"/>
  <c r="P168" i="3"/>
  <c r="O167" i="3"/>
  <c r="N167" i="3"/>
  <c r="M167" i="3"/>
  <c r="L167" i="3"/>
  <c r="K167" i="3"/>
  <c r="J167" i="3"/>
  <c r="I167" i="3"/>
  <c r="H167" i="3"/>
  <c r="P166" i="3"/>
  <c r="P165" i="3"/>
  <c r="P167" i="3" s="1"/>
  <c r="O164" i="3"/>
  <c r="P163" i="3"/>
  <c r="N163" i="3"/>
  <c r="N164" i="3" s="1"/>
  <c r="M163" i="3"/>
  <c r="M164" i="3" s="1"/>
  <c r="L163" i="3"/>
  <c r="L164" i="3" s="1"/>
  <c r="K163" i="3"/>
  <c r="K164" i="3" s="1"/>
  <c r="J163" i="3"/>
  <c r="J164" i="3" s="1"/>
  <c r="I163" i="3"/>
  <c r="I164" i="3" s="1"/>
  <c r="H163" i="3"/>
  <c r="H164" i="3" s="1"/>
  <c r="P162" i="3"/>
  <c r="P164" i="3" s="1"/>
  <c r="O162" i="3"/>
  <c r="O161" i="3"/>
  <c r="N161" i="3"/>
  <c r="M161" i="3"/>
  <c r="L161" i="3"/>
  <c r="K161" i="3"/>
  <c r="H161" i="3"/>
  <c r="M160" i="3"/>
  <c r="L160" i="3"/>
  <c r="K160" i="3"/>
  <c r="J160" i="3"/>
  <c r="I160" i="3"/>
  <c r="I161" i="3" s="1"/>
  <c r="P159" i="3"/>
  <c r="P158" i="3"/>
  <c r="O158" i="3"/>
  <c r="N158" i="3"/>
  <c r="M158" i="3"/>
  <c r="L158" i="3"/>
  <c r="K158" i="3"/>
  <c r="J158" i="3"/>
  <c r="I158" i="3"/>
  <c r="H158" i="3"/>
  <c r="P157" i="3"/>
  <c r="P156" i="3"/>
  <c r="O155" i="3"/>
  <c r="N155" i="3"/>
  <c r="M155" i="3"/>
  <c r="L155" i="3"/>
  <c r="K155" i="3"/>
  <c r="J155" i="3"/>
  <c r="I155" i="3"/>
  <c r="H155" i="3"/>
  <c r="J154" i="3"/>
  <c r="I154" i="3"/>
  <c r="P154" i="3" s="1"/>
  <c r="P155" i="3" s="1"/>
  <c r="P153" i="3"/>
  <c r="O152" i="3"/>
  <c r="P151" i="3"/>
  <c r="N151" i="3"/>
  <c r="N152" i="3" s="1"/>
  <c r="M151" i="3"/>
  <c r="M152" i="3" s="1"/>
  <c r="L151" i="3"/>
  <c r="L152" i="3" s="1"/>
  <c r="K151" i="3"/>
  <c r="K152" i="3" s="1"/>
  <c r="J151" i="3"/>
  <c r="J152" i="3" s="1"/>
  <c r="I151" i="3"/>
  <c r="I152" i="3" s="1"/>
  <c r="H151" i="3"/>
  <c r="H152" i="3" s="1"/>
  <c r="P150" i="3"/>
  <c r="P152" i="3" s="1"/>
  <c r="O150" i="3"/>
  <c r="K149" i="3"/>
  <c r="N148" i="3"/>
  <c r="N149" i="3" s="1"/>
  <c r="M148" i="3"/>
  <c r="M149" i="3" s="1"/>
  <c r="L148" i="3"/>
  <c r="L149" i="3" s="1"/>
  <c r="K148" i="3"/>
  <c r="J148" i="3"/>
  <c r="J149" i="3" s="1"/>
  <c r="I148" i="3"/>
  <c r="I149" i="3" s="1"/>
  <c r="H148" i="3"/>
  <c r="H149" i="3" s="1"/>
  <c r="O147" i="3"/>
  <c r="O149" i="3" s="1"/>
  <c r="O146" i="3"/>
  <c r="N146" i="3"/>
  <c r="P145" i="3"/>
  <c r="N145" i="3"/>
  <c r="M145" i="3"/>
  <c r="M146" i="3" s="1"/>
  <c r="L145" i="3"/>
  <c r="L146" i="3" s="1"/>
  <c r="K145" i="3"/>
  <c r="K146" i="3" s="1"/>
  <c r="J145" i="3"/>
  <c r="J146" i="3" s="1"/>
  <c r="I145" i="3"/>
  <c r="I146" i="3" s="1"/>
  <c r="H145" i="3"/>
  <c r="H146" i="3" s="1"/>
  <c r="P144" i="3"/>
  <c r="P146" i="3" s="1"/>
  <c r="O144" i="3"/>
  <c r="O143" i="3"/>
  <c r="N143" i="3"/>
  <c r="K143" i="3"/>
  <c r="J143" i="3"/>
  <c r="M142" i="3"/>
  <c r="M143" i="3" s="1"/>
  <c r="L142" i="3"/>
  <c r="L143" i="3" s="1"/>
  <c r="K142" i="3"/>
  <c r="J142" i="3"/>
  <c r="I142" i="3"/>
  <c r="I143" i="3" s="1"/>
  <c r="H142" i="3"/>
  <c r="H143" i="3" s="1"/>
  <c r="P141" i="3"/>
  <c r="O140" i="3"/>
  <c r="M140" i="3"/>
  <c r="N139" i="3"/>
  <c r="N140" i="3" s="1"/>
  <c r="M139" i="3"/>
  <c r="L139" i="3"/>
  <c r="L140" i="3" s="1"/>
  <c r="K139" i="3"/>
  <c r="K140" i="3" s="1"/>
  <c r="J139" i="3"/>
  <c r="J140" i="3" s="1"/>
  <c r="I139" i="3"/>
  <c r="I140" i="3" s="1"/>
  <c r="H139" i="3"/>
  <c r="H140" i="3" s="1"/>
  <c r="P138" i="3"/>
  <c r="P137" i="3"/>
  <c r="O137" i="3"/>
  <c r="N137" i="3"/>
  <c r="M137" i="3"/>
  <c r="L137" i="3"/>
  <c r="K137" i="3"/>
  <c r="J137" i="3"/>
  <c r="I137" i="3"/>
  <c r="H137" i="3"/>
  <c r="P136" i="3"/>
  <c r="P135" i="3"/>
  <c r="O134" i="3"/>
  <c r="N134" i="3"/>
  <c r="M134" i="3"/>
  <c r="L134" i="3"/>
  <c r="K134" i="3"/>
  <c r="J134" i="3"/>
  <c r="I134" i="3"/>
  <c r="P133" i="3"/>
  <c r="H132" i="3"/>
  <c r="H134" i="3" s="1"/>
  <c r="I131" i="3"/>
  <c r="N130" i="3"/>
  <c r="N131" i="3" s="1"/>
  <c r="M130" i="3"/>
  <c r="M131" i="3" s="1"/>
  <c r="L130" i="3"/>
  <c r="L131" i="3" s="1"/>
  <c r="K130" i="3"/>
  <c r="K131" i="3" s="1"/>
  <c r="J130" i="3"/>
  <c r="J131" i="3" s="1"/>
  <c r="I130" i="3"/>
  <c r="H130" i="3"/>
  <c r="P130" i="3" s="1"/>
  <c r="P131" i="3" s="1"/>
  <c r="P129" i="3"/>
  <c r="O129" i="3"/>
  <c r="O131" i="3" s="1"/>
  <c r="O128" i="3"/>
  <c r="N128" i="3"/>
  <c r="M128" i="3"/>
  <c r="M127" i="3"/>
  <c r="L127" i="3"/>
  <c r="L128" i="3" s="1"/>
  <c r="K127" i="3"/>
  <c r="K128" i="3" s="1"/>
  <c r="J127" i="3"/>
  <c r="J128" i="3" s="1"/>
  <c r="I127" i="3"/>
  <c r="I128" i="3" s="1"/>
  <c r="H127" i="3"/>
  <c r="H128" i="3" s="1"/>
  <c r="P126" i="3"/>
  <c r="O125" i="3"/>
  <c r="N125" i="3"/>
  <c r="H125" i="3"/>
  <c r="M124" i="3"/>
  <c r="M125" i="3" s="1"/>
  <c r="L124" i="3"/>
  <c r="L125" i="3" s="1"/>
  <c r="K124" i="3"/>
  <c r="K125" i="3" s="1"/>
  <c r="J124" i="3"/>
  <c r="J125" i="3" s="1"/>
  <c r="I124" i="3"/>
  <c r="I125" i="3" s="1"/>
  <c r="P123" i="3"/>
  <c r="O122" i="3"/>
  <c r="N122" i="3"/>
  <c r="H122" i="3"/>
  <c r="P121" i="3"/>
  <c r="P122" i="3" s="1"/>
  <c r="M121" i="3"/>
  <c r="M122" i="3" s="1"/>
  <c r="L121" i="3"/>
  <c r="L122" i="3" s="1"/>
  <c r="K121" i="3"/>
  <c r="K122" i="3" s="1"/>
  <c r="J121" i="3"/>
  <c r="J122" i="3" s="1"/>
  <c r="I121" i="3"/>
  <c r="I122" i="3" s="1"/>
  <c r="P120" i="3"/>
  <c r="P119" i="3"/>
  <c r="O119" i="3"/>
  <c r="N119" i="3"/>
  <c r="M119" i="3"/>
  <c r="I119" i="3"/>
  <c r="H119" i="3"/>
  <c r="L118" i="3"/>
  <c r="L119" i="3" s="1"/>
  <c r="K118" i="3"/>
  <c r="K119" i="3" s="1"/>
  <c r="J118" i="3"/>
  <c r="J119" i="3" s="1"/>
  <c r="I118" i="3"/>
  <c r="H118" i="3"/>
  <c r="P118" i="3" s="1"/>
  <c r="P117" i="3"/>
  <c r="J116" i="3"/>
  <c r="I116" i="3"/>
  <c r="N115" i="3"/>
  <c r="N116" i="3" s="1"/>
  <c r="M115" i="3"/>
  <c r="M116" i="3" s="1"/>
  <c r="L115" i="3"/>
  <c r="L116" i="3" s="1"/>
  <c r="K115" i="3"/>
  <c r="K116" i="3" s="1"/>
  <c r="J115" i="3"/>
  <c r="I115" i="3"/>
  <c r="H115" i="3"/>
  <c r="O114" i="3"/>
  <c r="N112" i="3"/>
  <c r="N113" i="3" s="1"/>
  <c r="M112" i="3"/>
  <c r="M113" i="3" s="1"/>
  <c r="L112" i="3"/>
  <c r="L113" i="3" s="1"/>
  <c r="K112" i="3"/>
  <c r="K113" i="3" s="1"/>
  <c r="J112" i="3"/>
  <c r="J113" i="3" s="1"/>
  <c r="I112" i="3"/>
  <c r="I113" i="3" s="1"/>
  <c r="H112" i="3"/>
  <c r="H113" i="3" s="1"/>
  <c r="O111" i="3"/>
  <c r="O113" i="3" s="1"/>
  <c r="O110" i="3"/>
  <c r="N109" i="3"/>
  <c r="N110" i="3" s="1"/>
  <c r="M109" i="3"/>
  <c r="M110" i="3" s="1"/>
  <c r="L109" i="3"/>
  <c r="L110" i="3" s="1"/>
  <c r="K109" i="3"/>
  <c r="K110" i="3" s="1"/>
  <c r="J109" i="3"/>
  <c r="J110" i="3" s="1"/>
  <c r="I109" i="3"/>
  <c r="I110" i="3" s="1"/>
  <c r="H109" i="3"/>
  <c r="H110" i="3" s="1"/>
  <c r="P108" i="3"/>
  <c r="O107" i="3"/>
  <c r="N106" i="3"/>
  <c r="N107" i="3" s="1"/>
  <c r="M106" i="3"/>
  <c r="P106" i="3" s="1"/>
  <c r="L106" i="3"/>
  <c r="L107" i="3" s="1"/>
  <c r="K106" i="3"/>
  <c r="K107" i="3" s="1"/>
  <c r="J106" i="3"/>
  <c r="J107" i="3" s="1"/>
  <c r="I106" i="3"/>
  <c r="I107" i="3" s="1"/>
  <c r="H106" i="3"/>
  <c r="H107" i="3" s="1"/>
  <c r="P105" i="3"/>
  <c r="O105" i="3"/>
  <c r="O104" i="3"/>
  <c r="N103" i="3"/>
  <c r="N104" i="3" s="1"/>
  <c r="M103" i="3"/>
  <c r="M104" i="3" s="1"/>
  <c r="L103" i="3"/>
  <c r="L104" i="3" s="1"/>
  <c r="K103" i="3"/>
  <c r="K104" i="3" s="1"/>
  <c r="J103" i="3"/>
  <c r="J104" i="3" s="1"/>
  <c r="I103" i="3"/>
  <c r="P103" i="3" s="1"/>
  <c r="H103" i="3"/>
  <c r="H104" i="3" s="1"/>
  <c r="P102" i="3"/>
  <c r="N100" i="3"/>
  <c r="N101" i="3" s="1"/>
  <c r="M100" i="3"/>
  <c r="M101" i="3" s="1"/>
  <c r="L100" i="3"/>
  <c r="L101" i="3" s="1"/>
  <c r="K100" i="3"/>
  <c r="K101" i="3" s="1"/>
  <c r="J100" i="3"/>
  <c r="J101" i="3" s="1"/>
  <c r="I100" i="3"/>
  <c r="I101" i="3" s="1"/>
  <c r="H100" i="3"/>
  <c r="H101" i="3" s="1"/>
  <c r="O99" i="3"/>
  <c r="O101" i="3" s="1"/>
  <c r="O98" i="3"/>
  <c r="N98" i="3"/>
  <c r="M98" i="3"/>
  <c r="L98" i="3"/>
  <c r="J98" i="3"/>
  <c r="H98" i="3"/>
  <c r="K97" i="3"/>
  <c r="K98" i="3" s="1"/>
  <c r="J97" i="3"/>
  <c r="I97" i="3"/>
  <c r="P97" i="3" s="1"/>
  <c r="P98" i="3" s="1"/>
  <c r="P96" i="3"/>
  <c r="O95" i="3"/>
  <c r="N95" i="3"/>
  <c r="M95" i="3"/>
  <c r="L95" i="3"/>
  <c r="K95" i="3"/>
  <c r="I95" i="3"/>
  <c r="P94" i="3"/>
  <c r="K94" i="3"/>
  <c r="J94" i="3"/>
  <c r="J95" i="3" s="1"/>
  <c r="I94" i="3"/>
  <c r="H94" i="3"/>
  <c r="H95" i="3" s="1"/>
  <c r="P93" i="3"/>
  <c r="P95" i="3" s="1"/>
  <c r="O92" i="3"/>
  <c r="N92" i="3"/>
  <c r="M92" i="3"/>
  <c r="L92" i="3"/>
  <c r="K92" i="3"/>
  <c r="I92" i="3"/>
  <c r="P91" i="3"/>
  <c r="K91" i="3"/>
  <c r="J91" i="3"/>
  <c r="J92" i="3" s="1"/>
  <c r="I91" i="3"/>
  <c r="H91" i="3"/>
  <c r="H92" i="3" s="1"/>
  <c r="P90" i="3"/>
  <c r="P92" i="3" s="1"/>
  <c r="O89" i="3"/>
  <c r="N89" i="3"/>
  <c r="M89" i="3"/>
  <c r="L89" i="3"/>
  <c r="K89" i="3"/>
  <c r="J89" i="3"/>
  <c r="I89" i="3"/>
  <c r="H89" i="3"/>
  <c r="P88" i="3"/>
  <c r="P87" i="3"/>
  <c r="P89" i="3" s="1"/>
  <c r="M86" i="3"/>
  <c r="H86" i="3"/>
  <c r="N85" i="3"/>
  <c r="N86" i="3" s="1"/>
  <c r="M85" i="3"/>
  <c r="L85" i="3"/>
  <c r="L86" i="3" s="1"/>
  <c r="K85" i="3"/>
  <c r="P85" i="3" s="1"/>
  <c r="J85" i="3"/>
  <c r="J86" i="3" s="1"/>
  <c r="I85" i="3"/>
  <c r="I86" i="3" s="1"/>
  <c r="O84" i="3"/>
  <c r="P84" i="3" s="1"/>
  <c r="N83" i="3"/>
  <c r="L83" i="3"/>
  <c r="J83" i="3"/>
  <c r="H83" i="3"/>
  <c r="O82" i="3"/>
  <c r="O83" i="3" s="1"/>
  <c r="N82" i="3"/>
  <c r="M82" i="3"/>
  <c r="M83" i="3" s="1"/>
  <c r="L82" i="3"/>
  <c r="K82" i="3"/>
  <c r="K83" i="3" s="1"/>
  <c r="J82" i="3"/>
  <c r="I82" i="3"/>
  <c r="I83" i="3" s="1"/>
  <c r="H82" i="3"/>
  <c r="P82" i="3" s="1"/>
  <c r="P81" i="3"/>
  <c r="O80" i="3"/>
  <c r="N80" i="3"/>
  <c r="M80" i="3"/>
  <c r="L80" i="3"/>
  <c r="K80" i="3"/>
  <c r="J80" i="3"/>
  <c r="J79" i="3"/>
  <c r="I79" i="3"/>
  <c r="I80" i="3" s="1"/>
  <c r="H79" i="3"/>
  <c r="H80" i="3" s="1"/>
  <c r="P78" i="3"/>
  <c r="O77" i="3"/>
  <c r="N76" i="3"/>
  <c r="N77" i="3" s="1"/>
  <c r="M76" i="3"/>
  <c r="M77" i="3" s="1"/>
  <c r="L76" i="3"/>
  <c r="L77" i="3" s="1"/>
  <c r="K76" i="3"/>
  <c r="K77" i="3" s="1"/>
  <c r="J76" i="3"/>
  <c r="J77" i="3" s="1"/>
  <c r="I76" i="3"/>
  <c r="P76" i="3" s="1"/>
  <c r="H76" i="3"/>
  <c r="H77" i="3" s="1"/>
  <c r="P75" i="3"/>
  <c r="O75" i="3"/>
  <c r="O74" i="3"/>
  <c r="N74" i="3"/>
  <c r="M74" i="3"/>
  <c r="K74" i="3"/>
  <c r="I74" i="3"/>
  <c r="M73" i="3"/>
  <c r="L73" i="3"/>
  <c r="L74" i="3" s="1"/>
  <c r="K73" i="3"/>
  <c r="J73" i="3"/>
  <c r="J74" i="3" s="1"/>
  <c r="I73" i="3"/>
  <c r="H73" i="3"/>
  <c r="H74" i="3" s="1"/>
  <c r="P72" i="3"/>
  <c r="O71" i="3"/>
  <c r="P70" i="3"/>
  <c r="N70" i="3"/>
  <c r="M70" i="3"/>
  <c r="L70" i="3"/>
  <c r="K70" i="3"/>
  <c r="J70" i="3"/>
  <c r="J71" i="3" s="1"/>
  <c r="I70" i="3"/>
  <c r="I71" i="3" s="1"/>
  <c r="H70" i="3"/>
  <c r="H71" i="3" s="1"/>
  <c r="P69" i="3"/>
  <c r="P71" i="3" s="1"/>
  <c r="O68" i="3"/>
  <c r="N68" i="3"/>
  <c r="M68" i="3"/>
  <c r="L68" i="3"/>
  <c r="K68" i="3"/>
  <c r="J68" i="3"/>
  <c r="I68" i="3"/>
  <c r="J67" i="3"/>
  <c r="I67" i="3"/>
  <c r="H67" i="3"/>
  <c r="H68" i="3" s="1"/>
  <c r="P66" i="3"/>
  <c r="O65" i="3"/>
  <c r="N65" i="3"/>
  <c r="M65" i="3"/>
  <c r="L65" i="3"/>
  <c r="K65" i="3"/>
  <c r="J65" i="3"/>
  <c r="I65" i="3"/>
  <c r="H65" i="3"/>
  <c r="P64" i="3"/>
  <c r="P65" i="3" s="1"/>
  <c r="P63" i="3"/>
  <c r="O62" i="3"/>
  <c r="N62" i="3"/>
  <c r="M62" i="3"/>
  <c r="L62" i="3"/>
  <c r="K62" i="3"/>
  <c r="J62" i="3"/>
  <c r="I62" i="3"/>
  <c r="H62" i="3"/>
  <c r="P61" i="3"/>
  <c r="P62" i="3" s="1"/>
  <c r="P60" i="3"/>
  <c r="O59" i="3"/>
  <c r="N59" i="3"/>
  <c r="M59" i="3"/>
  <c r="L59" i="3"/>
  <c r="K59" i="3"/>
  <c r="I59" i="3"/>
  <c r="H59" i="3"/>
  <c r="O58" i="3"/>
  <c r="J58" i="3"/>
  <c r="P58" i="3" s="1"/>
  <c r="I58" i="3"/>
  <c r="P57" i="3"/>
  <c r="P59" i="3" s="1"/>
  <c r="O57" i="3"/>
  <c r="O56" i="3"/>
  <c r="N56" i="3"/>
  <c r="M56" i="3"/>
  <c r="L56" i="3"/>
  <c r="K56" i="3"/>
  <c r="I56" i="3"/>
  <c r="H56" i="3"/>
  <c r="J55" i="3"/>
  <c r="J56" i="3" s="1"/>
  <c r="I55" i="3"/>
  <c r="P55" i="3" s="1"/>
  <c r="H55" i="3"/>
  <c r="P54" i="3"/>
  <c r="N53" i="3"/>
  <c r="M53" i="3"/>
  <c r="L53" i="3"/>
  <c r="K53" i="3"/>
  <c r="J53" i="3"/>
  <c r="H53" i="3"/>
  <c r="O52" i="3"/>
  <c r="O53" i="3" s="1"/>
  <c r="J52" i="3"/>
  <c r="I52" i="3"/>
  <c r="P52" i="3" s="1"/>
  <c r="P53" i="3" s="1"/>
  <c r="H52" i="3"/>
  <c r="P51" i="3"/>
  <c r="O50" i="3"/>
  <c r="N50" i="3"/>
  <c r="M50" i="3"/>
  <c r="L50" i="3"/>
  <c r="K50" i="3"/>
  <c r="J50" i="3"/>
  <c r="I50" i="3"/>
  <c r="H50" i="3"/>
  <c r="J49" i="3"/>
  <c r="I49" i="3"/>
  <c r="H49" i="3"/>
  <c r="P49" i="3" s="1"/>
  <c r="P50" i="3" s="1"/>
  <c r="P48" i="3"/>
  <c r="O47" i="3"/>
  <c r="N47" i="3"/>
  <c r="M47" i="3"/>
  <c r="L47" i="3"/>
  <c r="K47" i="3"/>
  <c r="I47" i="3"/>
  <c r="H47" i="3"/>
  <c r="P46" i="3"/>
  <c r="O46" i="3"/>
  <c r="J46" i="3"/>
  <c r="J47" i="3" s="1"/>
  <c r="I46" i="3"/>
  <c r="P45" i="3"/>
  <c r="P47" i="3" s="1"/>
  <c r="O45" i="3"/>
  <c r="O44" i="3"/>
  <c r="N44" i="3"/>
  <c r="M44" i="3"/>
  <c r="L44" i="3"/>
  <c r="K44" i="3"/>
  <c r="I44" i="3"/>
  <c r="H44" i="3"/>
  <c r="P43" i="3"/>
  <c r="O43" i="3"/>
  <c r="J43" i="3"/>
  <c r="J44" i="3" s="1"/>
  <c r="I43" i="3"/>
  <c r="P42" i="3"/>
  <c r="P44" i="3" s="1"/>
  <c r="O42" i="3"/>
  <c r="O41" i="3"/>
  <c r="N41" i="3"/>
  <c r="M41" i="3"/>
  <c r="L41" i="3"/>
  <c r="K41" i="3"/>
  <c r="J41" i="3"/>
  <c r="I41" i="3"/>
  <c r="H41" i="3"/>
  <c r="P40" i="3"/>
  <c r="P39" i="3"/>
  <c r="P41" i="3" s="1"/>
  <c r="O38" i="3"/>
  <c r="N38" i="3"/>
  <c r="M38" i="3"/>
  <c r="L38" i="3"/>
  <c r="K38" i="3"/>
  <c r="J38" i="3"/>
  <c r="J37" i="3"/>
  <c r="I37" i="3"/>
  <c r="I38" i="3" s="1"/>
  <c r="H37" i="3"/>
  <c r="H38" i="3" s="1"/>
  <c r="P36" i="3"/>
  <c r="O35" i="3"/>
  <c r="N35" i="3"/>
  <c r="M35" i="3"/>
  <c r="L35" i="3"/>
  <c r="K35" i="3"/>
  <c r="J35" i="3"/>
  <c r="I35" i="3"/>
  <c r="J34" i="3"/>
  <c r="I34" i="3"/>
  <c r="H34" i="3"/>
  <c r="H35" i="3" s="1"/>
  <c r="P33" i="3"/>
  <c r="O32" i="3"/>
  <c r="N32" i="3"/>
  <c r="M32" i="3"/>
  <c r="L32" i="3"/>
  <c r="K32" i="3"/>
  <c r="J32" i="3"/>
  <c r="I32" i="3"/>
  <c r="H32" i="3"/>
  <c r="P32" i="3" s="1"/>
  <c r="J31" i="3"/>
  <c r="I31" i="3"/>
  <c r="P31" i="3" s="1"/>
  <c r="H31" i="3"/>
  <c r="P30" i="3"/>
  <c r="O29" i="3"/>
  <c r="N29" i="3"/>
  <c r="M29" i="3"/>
  <c r="L29" i="3"/>
  <c r="K29" i="3"/>
  <c r="J29" i="3"/>
  <c r="H29" i="3"/>
  <c r="J28" i="3"/>
  <c r="I28" i="3"/>
  <c r="I29" i="3" s="1"/>
  <c r="H28" i="3"/>
  <c r="P28" i="3" s="1"/>
  <c r="P29" i="3" s="1"/>
  <c r="P27" i="3"/>
  <c r="O26" i="3"/>
  <c r="N26" i="3"/>
  <c r="M26" i="3"/>
  <c r="L26" i="3"/>
  <c r="K26" i="3"/>
  <c r="I26" i="3"/>
  <c r="H26" i="3"/>
  <c r="P25" i="3"/>
  <c r="J25" i="3"/>
  <c r="J26" i="3" s="1"/>
  <c r="I25" i="3"/>
  <c r="P24" i="3"/>
  <c r="P26" i="3" s="1"/>
  <c r="O23" i="3"/>
  <c r="N23" i="3"/>
  <c r="M23" i="3"/>
  <c r="L23" i="3"/>
  <c r="K23" i="3"/>
  <c r="H23" i="3"/>
  <c r="J22" i="3"/>
  <c r="J23" i="3" s="1"/>
  <c r="I22" i="3"/>
  <c r="P22" i="3" s="1"/>
  <c r="P21" i="3"/>
  <c r="O20" i="3"/>
  <c r="N20" i="3"/>
  <c r="M20" i="3"/>
  <c r="L20" i="3"/>
  <c r="K20" i="3"/>
  <c r="J20" i="3"/>
  <c r="H20" i="3"/>
  <c r="J19" i="3"/>
  <c r="I19" i="3"/>
  <c r="I20" i="3" s="1"/>
  <c r="P18" i="3"/>
  <c r="O17" i="3"/>
  <c r="N17" i="3"/>
  <c r="M17" i="3"/>
  <c r="L17" i="3"/>
  <c r="K17" i="3"/>
  <c r="J17" i="3"/>
  <c r="I17" i="3"/>
  <c r="H17" i="3"/>
  <c r="P17" i="3" s="1"/>
  <c r="J16" i="3"/>
  <c r="I16" i="3"/>
  <c r="P16" i="3" s="1"/>
  <c r="H16" i="3"/>
  <c r="P15" i="3"/>
  <c r="O14" i="3"/>
  <c r="N14" i="3"/>
  <c r="M14" i="3"/>
  <c r="L14" i="3"/>
  <c r="K14" i="3"/>
  <c r="J14" i="3"/>
  <c r="H14" i="3"/>
  <c r="I13" i="3"/>
  <c r="I14" i="3" s="1"/>
  <c r="H13" i="3"/>
  <c r="P12" i="3"/>
  <c r="A12" i="3"/>
  <c r="A15" i="3" s="1"/>
  <c r="A18" i="3" s="1"/>
  <c r="A21" i="3" s="1"/>
  <c r="A24" i="3" s="1"/>
  <c r="A27" i="3" s="1"/>
  <c r="A30" i="3" s="1"/>
  <c r="A33" i="3" s="1"/>
  <c r="A36" i="3" s="1"/>
  <c r="A39" i="3" s="1"/>
  <c r="A42" i="3" s="1"/>
  <c r="A45" i="3" s="1"/>
  <c r="A48" i="3" s="1"/>
  <c r="A51" i="3" s="1"/>
  <c r="A54" i="3" s="1"/>
  <c r="A57" i="3" s="1"/>
  <c r="A60" i="3" s="1"/>
  <c r="A63" i="3" s="1"/>
  <c r="A66" i="3" s="1"/>
  <c r="A69" i="3" s="1"/>
  <c r="A72" i="3" s="1"/>
  <c r="A75" i="3" s="1"/>
  <c r="A78" i="3" s="1"/>
  <c r="A81" i="3" s="1"/>
  <c r="A84" i="3" s="1"/>
  <c r="A87" i="3" s="1"/>
  <c r="A90" i="3" s="1"/>
  <c r="A93" i="3" s="1"/>
  <c r="A96" i="3" s="1"/>
  <c r="A99" i="3" s="1"/>
  <c r="A102" i="3" s="1"/>
  <c r="A105" i="3" s="1"/>
  <c r="A108" i="3" s="1"/>
  <c r="A111" i="3" s="1"/>
  <c r="A114" i="3" s="1"/>
  <c r="A117" i="3" s="1"/>
  <c r="A120" i="3" s="1"/>
  <c r="A123" i="3" s="1"/>
  <c r="A126" i="3" s="1"/>
  <c r="A129" i="3" s="1"/>
  <c r="A132" i="3" s="1"/>
  <c r="A135" i="3" s="1"/>
  <c r="A138" i="3" s="1"/>
  <c r="A141" i="3" s="1"/>
  <c r="A144" i="3" s="1"/>
  <c r="A147" i="3" s="1"/>
  <c r="A150" i="3" s="1"/>
  <c r="A153" i="3" s="1"/>
  <c r="A156" i="3" s="1"/>
  <c r="A159" i="3" s="1"/>
  <c r="A162" i="3" s="1"/>
  <c r="A165" i="3" s="1"/>
  <c r="A168" i="3" s="1"/>
  <c r="A171" i="3" s="1"/>
  <c r="A174" i="3" s="1"/>
  <c r="A177" i="3" s="1"/>
  <c r="A180" i="3" s="1"/>
  <c r="A183" i="3" s="1"/>
  <c r="A186" i="3" s="1"/>
  <c r="A189" i="3" s="1"/>
  <c r="A192" i="3" s="1"/>
  <c r="A195" i="3" s="1"/>
  <c r="A198" i="3" s="1"/>
  <c r="A201" i="3" s="1"/>
  <c r="A204" i="3" s="1"/>
  <c r="A207" i="3" s="1"/>
  <c r="A210" i="3" s="1"/>
  <c r="A213" i="3" s="1"/>
  <c r="A216" i="3" s="1"/>
  <c r="A219" i="3" s="1"/>
  <c r="A222" i="3" s="1"/>
  <c r="A225" i="3" s="1"/>
  <c r="A228" i="3" s="1"/>
  <c r="A231" i="3" s="1"/>
  <c r="A234" i="3" s="1"/>
  <c r="A237" i="3" s="1"/>
  <c r="A240" i="3" s="1"/>
  <c r="A243" i="3" s="1"/>
  <c r="A246" i="3" s="1"/>
  <c r="A249" i="3" s="1"/>
  <c r="A252" i="3" s="1"/>
  <c r="A255" i="3" s="1"/>
  <c r="A258" i="3" s="1"/>
  <c r="A261" i="3" s="1"/>
  <c r="A264" i="3" s="1"/>
  <c r="A267" i="3" s="1"/>
  <c r="A270" i="3" s="1"/>
  <c r="A273" i="3" s="1"/>
  <c r="A276" i="3" s="1"/>
  <c r="A279" i="3" s="1"/>
  <c r="A282" i="3" s="1"/>
  <c r="A285" i="3" s="1"/>
  <c r="A288" i="3" s="1"/>
  <c r="A291" i="3" s="1"/>
  <c r="A294" i="3" s="1"/>
  <c r="A297" i="3" s="1"/>
  <c r="A300" i="3" s="1"/>
  <c r="A303" i="3" s="1"/>
  <c r="A306" i="3" s="1"/>
  <c r="A309" i="3" s="1"/>
  <c r="A312" i="3" s="1"/>
  <c r="A315" i="3" s="1"/>
  <c r="A318" i="3" s="1"/>
  <c r="A321" i="3" s="1"/>
  <c r="A324" i="3" s="1"/>
  <c r="A327" i="3" s="1"/>
  <c r="A330" i="3" s="1"/>
  <c r="A333" i="3" s="1"/>
  <c r="A336" i="3" s="1"/>
  <c r="A339" i="3" s="1"/>
  <c r="A342" i="3" s="1"/>
  <c r="A345" i="3" s="1"/>
  <c r="A348" i="3" s="1"/>
  <c r="A351" i="3" s="1"/>
  <c r="A354" i="3" s="1"/>
  <c r="A357" i="3" s="1"/>
  <c r="A360" i="3" s="1"/>
  <c r="A363" i="3" s="1"/>
  <c r="A366" i="3" s="1"/>
  <c r="A369" i="3" s="1"/>
  <c r="A372" i="3" s="1"/>
  <c r="A375" i="3" s="1"/>
  <c r="A378" i="3" s="1"/>
  <c r="A381" i="3" s="1"/>
  <c r="A384" i="3" s="1"/>
  <c r="A387" i="3" s="1"/>
  <c r="A390" i="3" s="1"/>
  <c r="A393" i="3" s="1"/>
  <c r="A396" i="3" s="1"/>
  <c r="A399" i="3" s="1"/>
  <c r="A402" i="3" s="1"/>
  <c r="A405" i="3" s="1"/>
  <c r="A408" i="3" s="1"/>
  <c r="A411" i="3" s="1"/>
  <c r="A414" i="3" s="1"/>
  <c r="A417" i="3" s="1"/>
  <c r="A420" i="3" s="1"/>
  <c r="A423" i="3" s="1"/>
  <c r="A426" i="3" s="1"/>
  <c r="A429" i="3" s="1"/>
  <c r="A432" i="3" s="1"/>
  <c r="A435" i="3" s="1"/>
  <c r="A438" i="3" s="1"/>
  <c r="A441" i="3" s="1"/>
  <c r="A444" i="3" s="1"/>
  <c r="A447" i="3" s="1"/>
  <c r="A450" i="3" s="1"/>
  <c r="A453" i="3" s="1"/>
  <c r="A456" i="3" s="1"/>
  <c r="A459" i="3" s="1"/>
  <c r="A462" i="3" s="1"/>
  <c r="A465" i="3" s="1"/>
  <c r="A468" i="3" s="1"/>
  <c r="A471" i="3" s="1"/>
  <c r="A474" i="3" s="1"/>
  <c r="A477" i="3" s="1"/>
  <c r="A480" i="3" s="1"/>
  <c r="A483" i="3" s="1"/>
  <c r="A486" i="3" s="1"/>
  <c r="A489" i="3" s="1"/>
  <c r="A492" i="3" s="1"/>
  <c r="A495" i="3" s="1"/>
  <c r="A498" i="3" s="1"/>
  <c r="N11" i="3"/>
  <c r="M11" i="3"/>
  <c r="L11" i="3"/>
  <c r="K11" i="3"/>
  <c r="J11" i="3"/>
  <c r="I11" i="3"/>
  <c r="H11" i="3"/>
  <c r="P10" i="3"/>
  <c r="P9" i="3"/>
  <c r="O9" i="3"/>
  <c r="O11" i="3" s="1"/>
  <c r="D803" i="2"/>
  <c r="D800" i="2"/>
  <c r="D797" i="2"/>
  <c r="D796" i="2"/>
  <c r="D777" i="2"/>
  <c r="D776" i="2" s="1"/>
  <c r="D767" i="2"/>
  <c r="D766" i="2" s="1"/>
  <c r="D757" i="2"/>
  <c r="D756" i="2"/>
  <c r="D749" i="2"/>
  <c r="D747" i="2"/>
  <c r="D746" i="2" s="1"/>
  <c r="D737" i="2"/>
  <c r="D736" i="2"/>
  <c r="D727" i="2"/>
  <c r="D726" i="2"/>
  <c r="D725" i="2"/>
  <c r="D724" i="2"/>
  <c r="D723" i="2"/>
  <c r="D717" i="2" s="1"/>
  <c r="D716" i="2" s="1"/>
  <c r="D722" i="2"/>
  <c r="D721" i="2"/>
  <c r="D720" i="2"/>
  <c r="D719" i="2"/>
  <c r="D718" i="2"/>
  <c r="D707" i="2"/>
  <c r="D706" i="2" s="1"/>
  <c r="D697" i="2"/>
  <c r="D696" i="2" s="1"/>
  <c r="D695" i="2"/>
  <c r="D694" i="2"/>
  <c r="D693" i="2"/>
  <c r="D692" i="2"/>
  <c r="D691" i="2"/>
  <c r="D690" i="2"/>
  <c r="D689" i="2"/>
  <c r="D688" i="2"/>
  <c r="D687" i="2" s="1"/>
  <c r="D686" i="2" s="1"/>
  <c r="D677" i="2"/>
  <c r="D676" i="2" s="1"/>
  <c r="D667" i="2"/>
  <c r="D666" i="2" s="1"/>
  <c r="D657" i="2"/>
  <c r="D656" i="2" s="1"/>
  <c r="D655" i="2"/>
  <c r="D654" i="2"/>
  <c r="D653" i="2"/>
  <c r="D652" i="2"/>
  <c r="D651" i="2"/>
  <c r="D581" i="2" s="1"/>
  <c r="D650" i="2"/>
  <c r="D649" i="2"/>
  <c r="D647" i="2" s="1"/>
  <c r="D646" i="2" s="1"/>
  <c r="D648" i="2"/>
  <c r="D637" i="2"/>
  <c r="D636" i="2" s="1"/>
  <c r="D627" i="2"/>
  <c r="D626" i="2" s="1"/>
  <c r="D619" i="2"/>
  <c r="D617" i="2" s="1"/>
  <c r="D616" i="2" s="1"/>
  <c r="D618" i="2"/>
  <c r="D607" i="2"/>
  <c r="D606" i="2" s="1"/>
  <c r="D605" i="2"/>
  <c r="D585" i="2" s="1"/>
  <c r="D604" i="2"/>
  <c r="D603" i="2"/>
  <c r="D583" i="2" s="1"/>
  <c r="D602" i="2"/>
  <c r="D601" i="2"/>
  <c r="D600" i="2"/>
  <c r="D599" i="2"/>
  <c r="D598" i="2"/>
  <c r="D597" i="2"/>
  <c r="D596" i="2" s="1"/>
  <c r="D589" i="2"/>
  <c r="D587" i="2" s="1"/>
  <c r="D586" i="2" s="1"/>
  <c r="D584" i="2"/>
  <c r="D582" i="2"/>
  <c r="D580" i="2"/>
  <c r="D578" i="2"/>
  <c r="D567" i="2"/>
  <c r="D566" i="2"/>
  <c r="D557" i="2"/>
  <c r="D556" i="2"/>
  <c r="D547" i="2"/>
  <c r="D546" i="2" s="1"/>
  <c r="D537" i="2"/>
  <c r="D536" i="2"/>
  <c r="D527" i="2"/>
  <c r="D526" i="2"/>
  <c r="D517" i="2"/>
  <c r="D516" i="2"/>
  <c r="D507" i="2"/>
  <c r="D506" i="2" s="1"/>
  <c r="D505" i="2"/>
  <c r="D504" i="2"/>
  <c r="D484" i="2" s="1"/>
  <c r="D503" i="2"/>
  <c r="D502" i="2"/>
  <c r="D482" i="2" s="1"/>
  <c r="D501" i="2"/>
  <c r="D500" i="2"/>
  <c r="D497" i="2" s="1"/>
  <c r="D496" i="2" s="1"/>
  <c r="D499" i="2"/>
  <c r="D498" i="2"/>
  <c r="D487" i="2"/>
  <c r="D486" i="2"/>
  <c r="D485" i="2"/>
  <c r="D483" i="2"/>
  <c r="D481" i="2"/>
  <c r="D480" i="2"/>
  <c r="D479" i="2"/>
  <c r="D478" i="2"/>
  <c r="D467" i="2"/>
  <c r="D466" i="2" s="1"/>
  <c r="D457" i="2"/>
  <c r="D456" i="2"/>
  <c r="D447" i="2"/>
  <c r="D446" i="2"/>
  <c r="D445" i="2"/>
  <c r="D444" i="2"/>
  <c r="D443" i="2"/>
  <c r="D442" i="2"/>
  <c r="D441" i="2"/>
  <c r="D440" i="2"/>
  <c r="D439" i="2"/>
  <c r="D438" i="2"/>
  <c r="D437" i="2" s="1"/>
  <c r="D436" i="2" s="1"/>
  <c r="D427" i="2"/>
  <c r="D426" i="2" s="1"/>
  <c r="D417" i="2"/>
  <c r="D416" i="2"/>
  <c r="D407" i="2"/>
  <c r="D406" i="2"/>
  <c r="D397" i="2"/>
  <c r="D396" i="2"/>
  <c r="D387" i="2"/>
  <c r="D386" i="2" s="1"/>
  <c r="D385" i="2"/>
  <c r="D384" i="2"/>
  <c r="D383" i="2"/>
  <c r="D382" i="2"/>
  <c r="D381" i="2"/>
  <c r="D380" i="2"/>
  <c r="D377" i="2" s="1"/>
  <c r="D376" i="2" s="1"/>
  <c r="D379" i="2"/>
  <c r="D378" i="2"/>
  <c r="D367" i="2"/>
  <c r="D366" i="2"/>
  <c r="D357" i="2"/>
  <c r="D356" i="2"/>
  <c r="D347" i="2"/>
  <c r="D346" i="2" s="1"/>
  <c r="D337" i="2"/>
  <c r="D336" i="2"/>
  <c r="D327" i="2"/>
  <c r="D326" i="2"/>
  <c r="D317" i="2"/>
  <c r="D316" i="2"/>
  <c r="D315" i="2"/>
  <c r="D314" i="2"/>
  <c r="D313" i="2"/>
  <c r="D312" i="2"/>
  <c r="D311" i="2"/>
  <c r="D310" i="2"/>
  <c r="D309" i="2"/>
  <c r="D308" i="2"/>
  <c r="D307" i="2" s="1"/>
  <c r="D306" i="2" s="1"/>
  <c r="D297" i="2"/>
  <c r="D296" i="2"/>
  <c r="D287" i="2"/>
  <c r="D286" i="2"/>
  <c r="D277" i="2"/>
  <c r="D276" i="2"/>
  <c r="D275" i="2"/>
  <c r="D274" i="2"/>
  <c r="D273" i="2"/>
  <c r="D272" i="2"/>
  <c r="D271" i="2"/>
  <c r="D270" i="2"/>
  <c r="D269" i="2"/>
  <c r="D268" i="2"/>
  <c r="D267" i="2" s="1"/>
  <c r="D266" i="2" s="1"/>
  <c r="D257" i="2"/>
  <c r="D256" i="2"/>
  <c r="D247" i="2"/>
  <c r="D246" i="2"/>
  <c r="D237" i="2"/>
  <c r="D236" i="2"/>
  <c r="D227" i="2"/>
  <c r="D226" i="2" s="1"/>
  <c r="D217" i="2"/>
  <c r="D216" i="2"/>
  <c r="D215" i="2"/>
  <c r="D214" i="2"/>
  <c r="D196" i="2" s="1"/>
  <c r="D213" i="2"/>
  <c r="D212" i="2"/>
  <c r="D211" i="2"/>
  <c r="D210" i="2"/>
  <c r="D190" i="2" s="1"/>
  <c r="D209" i="2"/>
  <c r="D208" i="2"/>
  <c r="D188" i="2" s="1"/>
  <c r="D197" i="2"/>
  <c r="D195" i="2"/>
  <c r="D193" i="2"/>
  <c r="D192" i="2"/>
  <c r="D191" i="2"/>
  <c r="D189" i="2"/>
  <c r="D177" i="2"/>
  <c r="D176" i="2"/>
  <c r="D167" i="2"/>
  <c r="D166" i="2"/>
  <c r="D157" i="2"/>
  <c r="D156" i="2"/>
  <c r="D147" i="2"/>
  <c r="D146" i="2"/>
  <c r="D145" i="2"/>
  <c r="D144" i="2"/>
  <c r="D143" i="2"/>
  <c r="D142" i="2"/>
  <c r="D141" i="2"/>
  <c r="D140" i="2"/>
  <c r="D139" i="2"/>
  <c r="D138" i="2"/>
  <c r="D137" i="2" s="1"/>
  <c r="D136" i="2" s="1"/>
  <c r="D127" i="2"/>
  <c r="D126" i="2"/>
  <c r="D117" i="2"/>
  <c r="D116" i="2"/>
  <c r="D115" i="2"/>
  <c r="D114" i="2"/>
  <c r="D113" i="2"/>
  <c r="D112" i="2"/>
  <c r="D111" i="2"/>
  <c r="D110" i="2"/>
  <c r="D60" i="2" s="1"/>
  <c r="D109" i="2"/>
  <c r="D108" i="2"/>
  <c r="D107" i="2" s="1"/>
  <c r="D106" i="2" s="1"/>
  <c r="D97" i="2"/>
  <c r="D96" i="2"/>
  <c r="D87" i="2"/>
  <c r="D86" i="2"/>
  <c r="D77" i="2"/>
  <c r="D76" i="2"/>
  <c r="D67" i="2"/>
  <c r="D66" i="2"/>
  <c r="D65" i="2"/>
  <c r="D795" i="2" s="1"/>
  <c r="D64" i="2"/>
  <c r="D63" i="2"/>
  <c r="D793" i="2" s="1"/>
  <c r="D62" i="2"/>
  <c r="D792" i="2" s="1"/>
  <c r="D61" i="2"/>
  <c r="D791" i="2" s="1"/>
  <c r="D59" i="2"/>
  <c r="D58" i="2"/>
  <c r="D57" i="2" s="1"/>
  <c r="D56" i="2" s="1"/>
  <c r="D53" i="2"/>
  <c r="D46" i="2" s="1"/>
  <c r="D13" i="2" s="1"/>
  <c r="D44" i="2"/>
  <c r="D41" i="2"/>
  <c r="D25" i="2"/>
  <c r="D14" i="2"/>
  <c r="P14" i="3" l="1"/>
  <c r="P56" i="3"/>
  <c r="P83" i="3"/>
  <c r="P104" i="3"/>
  <c r="P20" i="3"/>
  <c r="P107" i="3"/>
  <c r="P23" i="3"/>
  <c r="P77" i="3"/>
  <c r="P86" i="3"/>
  <c r="N503" i="3"/>
  <c r="N532" i="3" s="1"/>
  <c r="N534" i="3" s="1"/>
  <c r="I77" i="3"/>
  <c r="K86" i="3"/>
  <c r="I104" i="3"/>
  <c r="M107" i="3"/>
  <c r="J245" i="3"/>
  <c r="P244" i="3"/>
  <c r="P511" i="3"/>
  <c r="I53" i="3"/>
  <c r="J59" i="3"/>
  <c r="I98" i="3"/>
  <c r="P111" i="3"/>
  <c r="P112" i="3"/>
  <c r="O224" i="3"/>
  <c r="P362" i="3"/>
  <c r="O452" i="3"/>
  <c r="P450" i="3"/>
  <c r="P452" i="3" s="1"/>
  <c r="P99" i="3"/>
  <c r="P101" i="3" s="1"/>
  <c r="P100" i="3"/>
  <c r="H116" i="3"/>
  <c r="H503" i="3" s="1"/>
  <c r="P115" i="3"/>
  <c r="P124" i="3"/>
  <c r="P125" i="3" s="1"/>
  <c r="H131" i="3"/>
  <c r="P177" i="3"/>
  <c r="P179" i="3" s="1"/>
  <c r="P178" i="3"/>
  <c r="P187" i="3"/>
  <c r="P188" i="3" s="1"/>
  <c r="P232" i="3"/>
  <c r="P234" i="3"/>
  <c r="P236" i="3" s="1"/>
  <c r="P235" i="3"/>
  <c r="M299" i="3"/>
  <c r="P298" i="3"/>
  <c r="I501" i="3"/>
  <c r="I311" i="3"/>
  <c r="P324" i="3"/>
  <c r="O326" i="3"/>
  <c r="O401" i="3"/>
  <c r="L269" i="3"/>
  <c r="P268" i="3"/>
  <c r="P269" i="3" s="1"/>
  <c r="P19" i="3"/>
  <c r="I23" i="3"/>
  <c r="I503" i="3" s="1"/>
  <c r="I532" i="3" s="1"/>
  <c r="I534" i="3" s="1"/>
  <c r="P37" i="3"/>
  <c r="P38" i="3" s="1"/>
  <c r="K502" i="3"/>
  <c r="K71" i="3"/>
  <c r="K503" i="3" s="1"/>
  <c r="K532" i="3" s="1"/>
  <c r="K534" i="3" s="1"/>
  <c r="O86" i="3"/>
  <c r="J311" i="3"/>
  <c r="P311" i="3" s="1"/>
  <c r="J501" i="3"/>
  <c r="H419" i="3"/>
  <c r="P418" i="3"/>
  <c r="J482" i="3"/>
  <c r="P480" i="3"/>
  <c r="P482" i="3" s="1"/>
  <c r="O511" i="3"/>
  <c r="O529" i="3" s="1"/>
  <c r="O527" i="3"/>
  <c r="P509" i="3"/>
  <c r="H502" i="3"/>
  <c r="J502" i="3"/>
  <c r="P34" i="3"/>
  <c r="P35" i="3" s="1"/>
  <c r="P67" i="3"/>
  <c r="P68" i="3" s="1"/>
  <c r="L502" i="3"/>
  <c r="L71" i="3"/>
  <c r="L503" i="3" s="1"/>
  <c r="L532" i="3" s="1"/>
  <c r="L534" i="3" s="1"/>
  <c r="P79" i="3"/>
  <c r="P80" i="3" s="1"/>
  <c r="P109" i="3"/>
  <c r="P110" i="3" s="1"/>
  <c r="J161" i="3"/>
  <c r="J503" i="3" s="1"/>
  <c r="J532" i="3" s="1"/>
  <c r="J534" i="3" s="1"/>
  <c r="P160" i="3"/>
  <c r="P161" i="3" s="1"/>
  <c r="H191" i="3"/>
  <c r="P190" i="3"/>
  <c r="P191" i="3" s="1"/>
  <c r="H206" i="3"/>
  <c r="P220" i="3"/>
  <c r="P221" i="3" s="1"/>
  <c r="P228" i="3"/>
  <c r="P230" i="3" s="1"/>
  <c r="P229" i="3"/>
  <c r="P245" i="3"/>
  <c r="P254" i="3"/>
  <c r="I266" i="3"/>
  <c r="P265" i="3"/>
  <c r="P299" i="3"/>
  <c r="P318" i="3"/>
  <c r="P320" i="3" s="1"/>
  <c r="P396" i="3"/>
  <c r="P398" i="3" s="1"/>
  <c r="P11" i="3"/>
  <c r="P73" i="3"/>
  <c r="P74" i="3" s="1"/>
  <c r="I502" i="3"/>
  <c r="M502" i="3"/>
  <c r="M71" i="3"/>
  <c r="P170" i="3"/>
  <c r="P182" i="3"/>
  <c r="J437" i="3"/>
  <c r="P435" i="3"/>
  <c r="P437" i="3" s="1"/>
  <c r="O476" i="3"/>
  <c r="P474" i="3"/>
  <c r="P476" i="3" s="1"/>
  <c r="P492" i="3"/>
  <c r="O494" i="3"/>
  <c r="H501" i="3"/>
  <c r="L508" i="3"/>
  <c r="L529" i="3" s="1"/>
  <c r="L528" i="3"/>
  <c r="O116" i="3"/>
  <c r="P114" i="3"/>
  <c r="P116" i="3" s="1"/>
  <c r="H323" i="3"/>
  <c r="P322" i="3"/>
  <c r="O501" i="3"/>
  <c r="M503" i="3"/>
  <c r="M532" i="3" s="1"/>
  <c r="M534" i="3" s="1"/>
  <c r="P13" i="3"/>
  <c r="P502" i="3" s="1"/>
  <c r="O502" i="3"/>
  <c r="N502" i="3"/>
  <c r="N71" i="3"/>
  <c r="P169" i="3"/>
  <c r="P193" i="3"/>
  <c r="P194" i="3" s="1"/>
  <c r="P199" i="3"/>
  <c r="P200" i="3" s="1"/>
  <c r="P224" i="3"/>
  <c r="P337" i="3"/>
  <c r="K437" i="3"/>
  <c r="K501" i="3"/>
  <c r="P458" i="3"/>
  <c r="H494" i="3"/>
  <c r="P493" i="3"/>
  <c r="P281" i="3"/>
  <c r="P292" i="3"/>
  <c r="P293" i="3" s="1"/>
  <c r="P301" i="3"/>
  <c r="P302" i="3" s="1"/>
  <c r="P308" i="3"/>
  <c r="O314" i="3"/>
  <c r="H326" i="3"/>
  <c r="P325" i="3"/>
  <c r="O353" i="3"/>
  <c r="P351" i="3"/>
  <c r="P353" i="3" s="1"/>
  <c r="P397" i="3"/>
  <c r="P468" i="3"/>
  <c r="P470" i="3" s="1"/>
  <c r="H491" i="3"/>
  <c r="P490" i="3"/>
  <c r="P491" i="3" s="1"/>
  <c r="P127" i="3"/>
  <c r="P128" i="3" s="1"/>
  <c r="P132" i="3"/>
  <c r="P134" i="3" s="1"/>
  <c r="P139" i="3"/>
  <c r="P140" i="3" s="1"/>
  <c r="P195" i="3"/>
  <c r="P196" i="3"/>
  <c r="P201" i="3"/>
  <c r="P203" i="3" s="1"/>
  <c r="P202" i="3"/>
  <c r="P217" i="3"/>
  <c r="P218" i="3" s="1"/>
  <c r="O248" i="3"/>
  <c r="P246" i="3"/>
  <c r="P248" i="3" s="1"/>
  <c r="P277" i="3"/>
  <c r="P278" i="3" s="1"/>
  <c r="P289" i="3"/>
  <c r="P290" i="3" s="1"/>
  <c r="L311" i="3"/>
  <c r="L501" i="3"/>
  <c r="P327" i="3"/>
  <c r="P329" i="3" s="1"/>
  <c r="P357" i="3"/>
  <c r="P359" i="3" s="1"/>
  <c r="O422" i="3"/>
  <c r="O458" i="3"/>
  <c r="I529" i="3"/>
  <c r="P361" i="3"/>
  <c r="P378" i="3"/>
  <c r="P380" i="3" s="1"/>
  <c r="O395" i="3"/>
  <c r="P393" i="3"/>
  <c r="P395" i="3" s="1"/>
  <c r="O410" i="3"/>
  <c r="P408" i="3"/>
  <c r="P410" i="3" s="1"/>
  <c r="O434" i="3"/>
  <c r="P432" i="3"/>
  <c r="P434" i="3" s="1"/>
  <c r="M440" i="3"/>
  <c r="P527" i="3"/>
  <c r="M529" i="3"/>
  <c r="P520" i="3"/>
  <c r="P142" i="3"/>
  <c r="P143" i="3" s="1"/>
  <c r="P147" i="3"/>
  <c r="P149" i="3" s="1"/>
  <c r="P148" i="3"/>
  <c r="P175" i="3"/>
  <c r="P176" i="3" s="1"/>
  <c r="P181" i="3"/>
  <c r="P231" i="3"/>
  <c r="P233" i="3" s="1"/>
  <c r="P237" i="3"/>
  <c r="P286" i="3"/>
  <c r="P287" i="3" s="1"/>
  <c r="N501" i="3"/>
  <c r="O371" i="3"/>
  <c r="P441" i="3"/>
  <c r="P443" i="3" s="1"/>
  <c r="O443" i="3"/>
  <c r="P445" i="3"/>
  <c r="P477" i="3"/>
  <c r="P479" i="3" s="1"/>
  <c r="P483" i="3"/>
  <c r="P485" i="3" s="1"/>
  <c r="P507" i="3"/>
  <c r="N529" i="3"/>
  <c r="O221" i="3"/>
  <c r="O503" i="3" s="1"/>
  <c r="O532" i="3" s="1"/>
  <c r="P238" i="3"/>
  <c r="P256" i="3"/>
  <c r="P257" i="3" s="1"/>
  <c r="P259" i="3"/>
  <c r="P260" i="3" s="1"/>
  <c r="O275" i="3"/>
  <c r="P273" i="3"/>
  <c r="P275" i="3" s="1"/>
  <c r="O311" i="3"/>
  <c r="P338" i="3"/>
  <c r="P350" i="3"/>
  <c r="P403" i="3"/>
  <c r="P404" i="3" s="1"/>
  <c r="I443" i="3"/>
  <c r="P442" i="3"/>
  <c r="P444" i="3"/>
  <c r="P446" i="3" s="1"/>
  <c r="O455" i="3"/>
  <c r="H528" i="3"/>
  <c r="H514" i="3"/>
  <c r="P514" i="3" s="1"/>
  <c r="P513" i="3"/>
  <c r="P251" i="3"/>
  <c r="P266" i="3"/>
  <c r="P309" i="3"/>
  <c r="P310" i="3"/>
  <c r="P323" i="3"/>
  <c r="P370" i="3"/>
  <c r="P371" i="3" s="1"/>
  <c r="O377" i="3"/>
  <c r="P375" i="3"/>
  <c r="P377" i="3" s="1"/>
  <c r="O389" i="3"/>
  <c r="P401" i="3"/>
  <c r="H416" i="3"/>
  <c r="P415" i="3"/>
  <c r="P416" i="3" s="1"/>
  <c r="P417" i="3"/>
  <c r="P419" i="3" s="1"/>
  <c r="O419" i="3"/>
  <c r="P455" i="3"/>
  <c r="P467" i="3"/>
  <c r="P486" i="3"/>
  <c r="P488" i="3" s="1"/>
  <c r="K488" i="3"/>
  <c r="P508" i="3"/>
  <c r="P523" i="3"/>
  <c r="P247" i="3"/>
  <c r="P364" i="3"/>
  <c r="P365" i="3" s="1"/>
  <c r="P280" i="3"/>
  <c r="H359" i="3"/>
  <c r="P462" i="3"/>
  <c r="P464" i="3" s="1"/>
  <c r="O528" i="3"/>
  <c r="D477" i="2"/>
  <c r="D476" i="2" s="1"/>
  <c r="D789" i="2"/>
  <c r="D790" i="2"/>
  <c r="D187" i="2"/>
  <c r="D186" i="2" s="1"/>
  <c r="D207" i="2"/>
  <c r="D206" i="2" s="1"/>
  <c r="D788" i="2"/>
  <c r="D194" i="2"/>
  <c r="D794" i="2" s="1"/>
  <c r="D579" i="2"/>
  <c r="D577" i="2" s="1"/>
  <c r="D576" i="2" s="1"/>
  <c r="P501" i="3" l="1"/>
  <c r="P326" i="3"/>
  <c r="P528" i="3"/>
  <c r="H529" i="3"/>
  <c r="H532" i="3" s="1"/>
  <c r="H534" i="3" s="1"/>
  <c r="P113" i="3"/>
  <c r="P494" i="3"/>
  <c r="P239" i="3"/>
  <c r="P529" i="3"/>
  <c r="P197" i="3"/>
  <c r="P503" i="3" s="1"/>
  <c r="P532" i="3" s="1"/>
  <c r="D55" i="2"/>
  <c r="D807" i="2" s="1"/>
  <c r="D809" i="2" s="1"/>
  <c r="D787" i="2"/>
  <c r="D786" i="2" s="1"/>
</calcChain>
</file>

<file path=xl/sharedStrings.xml><?xml version="1.0" encoding="utf-8"?>
<sst xmlns="http://schemas.openxmlformats.org/spreadsheetml/2006/main" count="4188" uniqueCount="1178">
  <si>
    <t>1.pielikums</t>
  </si>
  <si>
    <t>VALMIERAS NOVADA PAŠVALDĪBAS KONSOLIDĒTĀ PAMATBUDŽETA</t>
  </si>
  <si>
    <t xml:space="preserve">IEŅĒMUMU UN IZDEVUMU TĀME 2023.GADAM  </t>
  </si>
  <si>
    <t>ar grozījumiem 27.04.2023., 28.09.2023.</t>
  </si>
  <si>
    <t>Valdības funkciju klasifikācija</t>
  </si>
  <si>
    <t xml:space="preserve">Ekonomiskās klasifikācijas kods </t>
  </si>
  <si>
    <t>Rādītāji</t>
  </si>
  <si>
    <t>Plāns'2023</t>
  </si>
  <si>
    <t>1</t>
  </si>
  <si>
    <t>2</t>
  </si>
  <si>
    <t>3</t>
  </si>
  <si>
    <t>4</t>
  </si>
  <si>
    <t xml:space="preserve">                          Ieņēmumi kopā</t>
  </si>
  <si>
    <t xml:space="preserve">105 532 824   </t>
  </si>
  <si>
    <t>1.0</t>
  </si>
  <si>
    <t>Nodokļu Ieņēmumi</t>
  </si>
  <si>
    <t>01.111</t>
  </si>
  <si>
    <t>Saņemts no Valsts kases sadales konta iepriekšējā gada nesadalītais iedzīvotāju ienākuma nodokļa atlikums</t>
  </si>
  <si>
    <t>01.112</t>
  </si>
  <si>
    <t>Pašvaldības budžeta ieņēmumos saņemtais iedzīvotāju ienākuma nodoklis no Valsts kases sadales konta</t>
  </si>
  <si>
    <t>04.111</t>
  </si>
  <si>
    <t>Nekustamā īpašuma nodokļa par zemi kārtējā saimnieciskā gada ieņēmumi</t>
  </si>
  <si>
    <t>04.112</t>
  </si>
  <si>
    <t>Nekustamā īpašuma nodokļa par zemi parādi par iepriekšējiem periodiem</t>
  </si>
  <si>
    <t>04.121</t>
  </si>
  <si>
    <t>Nekustamā īpašuma nodokļa par ēkām kārtējā gada maksājumi</t>
  </si>
  <si>
    <t>04.122</t>
  </si>
  <si>
    <t>Nekustamā īpašuma nodokļa par ēkām parādi par iepriekšējiem periodiem</t>
  </si>
  <si>
    <t>04.131</t>
  </si>
  <si>
    <t>Nekustamā īpašuma nodokļa par mājokļiem kārtējā gada maksājumi</t>
  </si>
  <si>
    <t>04.132</t>
  </si>
  <si>
    <t>Nekustamā īpašuma nodokļa par mājokļiem parādi par iepriekšējiem periodiem</t>
  </si>
  <si>
    <t>05.410</t>
  </si>
  <si>
    <t>Azartspēļu nodoklis</t>
  </si>
  <si>
    <t>05.530</t>
  </si>
  <si>
    <t>Dabas resursu nodoklis</t>
  </si>
  <si>
    <t>05.531</t>
  </si>
  <si>
    <t>Dabas resursu nodoklis par dabas resursu ieguvi un vides piesārņošanu</t>
  </si>
  <si>
    <t>2.0</t>
  </si>
  <si>
    <t>Nenodokļu ieņēmumi</t>
  </si>
  <si>
    <t>08.100</t>
  </si>
  <si>
    <t>Ieņēmumi no finanšu ieguldījumiem</t>
  </si>
  <si>
    <t>08.300</t>
  </si>
  <si>
    <t xml:space="preserve">Ieņēmumi no dividendēm (ieņēmumi no valsts (pašvaldību) kapitāla izmantošanas) </t>
  </si>
  <si>
    <t>08.600</t>
  </si>
  <si>
    <t>Procentu ieņēmumi no depozītiem un kontu atlikumiem</t>
  </si>
  <si>
    <t>08.900</t>
  </si>
  <si>
    <t>Pārējie finanšu ieņēmumi</t>
  </si>
  <si>
    <t>09.100</t>
  </si>
  <si>
    <t>Valsts nodeva un kancelejas nodeva par juridiskajiem pakalpojumiem tiesu iestādēs</t>
  </si>
  <si>
    <t>09.400</t>
  </si>
  <si>
    <t>Valsts nodevas, kuras ieskaita pašvaldību budžetā</t>
  </si>
  <si>
    <t>09.500</t>
  </si>
  <si>
    <t>Pašvaldību nodevas</t>
  </si>
  <si>
    <t>10.100</t>
  </si>
  <si>
    <t>Naudas sodi</t>
  </si>
  <si>
    <t>12.200</t>
  </si>
  <si>
    <t>Nenodokļu ieņēmumi un ieņēmumi no zaudējumu atlīdzībām un kompensācijām</t>
  </si>
  <si>
    <t>12.300</t>
  </si>
  <si>
    <t>Dažādi nenodokļu ieņēmumi</t>
  </si>
  <si>
    <t>13.100</t>
  </si>
  <si>
    <t xml:space="preserve">Ieņēmumi no ēku un būvju īpašuma pārdošanas </t>
  </si>
  <si>
    <t>13.200</t>
  </si>
  <si>
    <t>Ieņēmumi no zemes, meža īpašuma pārdošanas</t>
  </si>
  <si>
    <t>13.400</t>
  </si>
  <si>
    <t xml:space="preserve">Ieņēmumi no valsts un pašvaldību kustamā īpašuma un mantas realizācijas </t>
  </si>
  <si>
    <t>13.500</t>
  </si>
  <si>
    <t xml:space="preserve">Ieņēmumi no valsts un pašvaldību īpašuma iznomāšanas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</si>
  <si>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</t>
  </si>
  <si>
    <t>Maksas pakalpojumi un citi pašu ieņēmumi</t>
  </si>
  <si>
    <t>21.300</t>
  </si>
  <si>
    <t>Ieņēmumi no iestāžu sniegtajiem maksas pakalpojumiem un citi pašu ieņēmumi</t>
  </si>
  <si>
    <t>21.400</t>
  </si>
  <si>
    <t>Pārējie 21300 grupā neklasificētie iestāžu ieņēmumi par budžeta iestāžu sniegtajiem maksas pakalpojumiem un citi pašu ieņēmumi</t>
  </si>
  <si>
    <t>4.0</t>
  </si>
  <si>
    <t>Arvalstu finanu palidziba</t>
  </si>
  <si>
    <t>21.100</t>
  </si>
  <si>
    <t>Iestādes ieņēmumi no ārvalstu finanšu palīdzības</t>
  </si>
  <si>
    <t>5.0</t>
  </si>
  <si>
    <t>Transferti</t>
  </si>
  <si>
    <t>17.200</t>
  </si>
  <si>
    <t>Pašvaldību saņemtie transferti no valsts budžeta daļēji finansētām atvasinātām publiskām personām un no budžeta nefinansētām iestādēm</t>
  </si>
  <si>
    <t>18.620</t>
  </si>
  <si>
    <t xml:space="preserve">Pašvaldību saņemtie valsts budžeta transferti </t>
  </si>
  <si>
    <t>18.630</t>
  </si>
  <si>
    <t>Pašvaldību no valsts budžeta iestādēm saņemtie transferti Eiropas Savienības politiku instrumentu un pārējās ārvalstu finanšu palīdzības līdzfinansētajiem projektiem (pasākumiem)</t>
  </si>
  <si>
    <t>18.640</t>
  </si>
  <si>
    <t>Pašvaldību budžetā saņemtā dotācija no pašvaldību finanšu izlīdzināšanas fonda</t>
  </si>
  <si>
    <t>18.690</t>
  </si>
  <si>
    <t>Pārējie pašvaldību saņemtie valsts budžeta iestāžu transferti</t>
  </si>
  <si>
    <t>19.100</t>
  </si>
  <si>
    <t>Ieņēmumi no vienas pašvaldības cita budžeta veida</t>
  </si>
  <si>
    <t>19.200</t>
  </si>
  <si>
    <t>Pašvaldību saņemtie transferti no citām pašvaldībām</t>
  </si>
  <si>
    <t>19.300</t>
  </si>
  <si>
    <t>Pašvaldības un tās iestāžu savstarpējie transferti</t>
  </si>
  <si>
    <t xml:space="preserve">                          II  IZDEVUMI  KOPĀ PA VALDĪBAS FUNKCIONĀLAJĀM KATEGORIJĀM</t>
  </si>
  <si>
    <t xml:space="preserve">  132 027 310   </t>
  </si>
  <si>
    <t>01.000</t>
  </si>
  <si>
    <t>Visparejie valdibas dienesti</t>
  </si>
  <si>
    <t>1.Uzturēšanas Izdevumi (1000,2000,3000,4000,6000,7000)</t>
  </si>
  <si>
    <t>1000</t>
  </si>
  <si>
    <t>Atlīdzība</t>
  </si>
  <si>
    <t>2000</t>
  </si>
  <si>
    <t>Preces un pakalpojumi</t>
  </si>
  <si>
    <t>3000</t>
  </si>
  <si>
    <t>Subsīdijas un dotācijas</t>
  </si>
  <si>
    <t>4000</t>
  </si>
  <si>
    <t>Procentu izdevumi</t>
  </si>
  <si>
    <t>5000</t>
  </si>
  <si>
    <t>Pamatkapitāla veidošana</t>
  </si>
  <si>
    <t>6000</t>
  </si>
  <si>
    <t>Sociālā rakstura maksājumi un kompensācijas</t>
  </si>
  <si>
    <t>7000</t>
  </si>
  <si>
    <t>Uzturēšanas izdevumu transferti, pašu resursu maksājumi, starptautiskā sadarbība</t>
  </si>
  <si>
    <t>8000</t>
  </si>
  <si>
    <t>Dažādi izdevumi, kas veidojas pēc uzkrāšanas principa un nav klasificēti iepriekš</t>
  </si>
  <si>
    <t>01.100</t>
  </si>
  <si>
    <t>Izpildvara, likumdošanas vara, finanšu un fiskālās darbības, ārlietas</t>
  </si>
  <si>
    <t>01.300</t>
  </si>
  <si>
    <t>Visparējās nozīmes dienesti</t>
  </si>
  <si>
    <t>01.600</t>
  </si>
  <si>
    <t>Pārējie iepriekš neklasificētie vispārējie valdības dienesti</t>
  </si>
  <si>
    <t>01.720</t>
  </si>
  <si>
    <t>Pašvaldību budžetu  parāda darījumi</t>
  </si>
  <si>
    <t>01.800</t>
  </si>
  <si>
    <t>Vispārēja rakstura transferti starp valsts pārvaldes dažādiem limeņiem</t>
  </si>
  <si>
    <t>01.830</t>
  </si>
  <si>
    <t>Vispārēja rakstura transferti no pašvaldību budžeta pašvaldību budžetam</t>
  </si>
  <si>
    <t>01.890</t>
  </si>
  <si>
    <t>Pārējie citur neklasificētie vispārēja rakstura transferti</t>
  </si>
  <si>
    <t>03.000</t>
  </si>
  <si>
    <t>Sabiedriskā kārtība un drošība</t>
  </si>
  <si>
    <t>03.100</t>
  </si>
  <si>
    <t>Policija</t>
  </si>
  <si>
    <t>03.200</t>
  </si>
  <si>
    <t>Ugunsdrošības, ugunsdzēsības, glābšanas un civilās drošības dienesti</t>
  </si>
  <si>
    <t>04.000</t>
  </si>
  <si>
    <t>Ekonomiskā darbība</t>
  </si>
  <si>
    <t>04.100</t>
  </si>
  <si>
    <t>Vispārēja ekonomiska, komerciāla un nodarbinātības darbība</t>
  </si>
  <si>
    <t>04.200</t>
  </si>
  <si>
    <t>Lauksaimniecība, mežsaimniecība, zivsaimniecība un medniecība</t>
  </si>
  <si>
    <t>04.230</t>
  </si>
  <si>
    <t>Zivsaimniecība un medniecība</t>
  </si>
  <si>
    <t>04.240</t>
  </si>
  <si>
    <t>Atbalsts lauksaimniecības , mežsaimn., zivsaimn. un medniecības nozarēm</t>
  </si>
  <si>
    <t>04.300</t>
  </si>
  <si>
    <t>Kurināmais un enerģētika</t>
  </si>
  <si>
    <t>04.400</t>
  </si>
  <si>
    <t>Ieguves rupniecība, apstrādes rupniecība un buvniecība</t>
  </si>
  <si>
    <t>04.500</t>
  </si>
  <si>
    <t>Transports</t>
  </si>
  <si>
    <t>04.700</t>
  </si>
  <si>
    <t>Citas nozares</t>
  </si>
  <si>
    <t>04.730</t>
  </si>
  <si>
    <t>Tūrisms</t>
  </si>
  <si>
    <t>04.740</t>
  </si>
  <si>
    <t>Vairāku mērķu attīstības projekti</t>
  </si>
  <si>
    <t>04.900</t>
  </si>
  <si>
    <t>Vispārēja ekonomiskās darbības vadība, darbība vai atbalsts</t>
  </si>
  <si>
    <t>05.000</t>
  </si>
  <si>
    <t>Vides aizsardzība</t>
  </si>
  <si>
    <t>05.200</t>
  </si>
  <si>
    <t>Notekūdeņu apsaimniekošana</t>
  </si>
  <si>
    <t>05.300</t>
  </si>
  <si>
    <t>Vides piesārņojuma novēršana un samazināšana</t>
  </si>
  <si>
    <t>05.400</t>
  </si>
  <si>
    <t>Bioloģiskās daudzveidības un ainavas aizsardzība</t>
  </si>
  <si>
    <t>05.600</t>
  </si>
  <si>
    <t>Pārējā citur neklasificētā vides aizsardība</t>
  </si>
  <si>
    <t>06.000</t>
  </si>
  <si>
    <t>Teritoriju mājokļu apsaimniekošana</t>
  </si>
  <si>
    <t>06.100</t>
  </si>
  <si>
    <t>Mājokļu attīstība</t>
  </si>
  <si>
    <t>06.200</t>
  </si>
  <si>
    <t>06.300</t>
  </si>
  <si>
    <t>Ūdensapgāde</t>
  </si>
  <si>
    <t>06.400</t>
  </si>
  <si>
    <t>Ielu apgaismošana</t>
  </si>
  <si>
    <t>06.600</t>
  </si>
  <si>
    <t>Pārējā citur neklasificētā pašvaldību teritoriju un mājokļu apsaimniekošanas darbība</t>
  </si>
  <si>
    <t>07.000</t>
  </si>
  <si>
    <t>Veselība</t>
  </si>
  <si>
    <t>07.200</t>
  </si>
  <si>
    <t>Āmbulatoro ārstniecības iestažu darbība un pakalpojumi</t>
  </si>
  <si>
    <t>07.400</t>
  </si>
  <si>
    <t>07.600</t>
  </si>
  <si>
    <t>Pārējā citur neklasificēta veselības aprūpe</t>
  </si>
  <si>
    <t>08.000</t>
  </si>
  <si>
    <t>Atpūta, kultūra un reliģija</t>
  </si>
  <si>
    <t>Atpūtas un sporta pasākumi</t>
  </si>
  <si>
    <t>08.200</t>
  </si>
  <si>
    <t>Kultūra</t>
  </si>
  <si>
    <t>08.210</t>
  </si>
  <si>
    <t>Bibliotēka</t>
  </si>
  <si>
    <t>08.220</t>
  </si>
  <si>
    <t>Muzeji un izstādes</t>
  </si>
  <si>
    <t>08.230</t>
  </si>
  <si>
    <t>Kultūras centri, nami, klubi</t>
  </si>
  <si>
    <t>08.240</t>
  </si>
  <si>
    <t>Teātri, izrādes un koncertdarbība</t>
  </si>
  <si>
    <t>08.290</t>
  </si>
  <si>
    <t>Pārējā citur neklasificētā kultūra</t>
  </si>
  <si>
    <t>08.400</t>
  </si>
  <si>
    <t>Reliģisko organizāciju un citu biedrību un nodibinājumu pakalpojumi</t>
  </si>
  <si>
    <t>Pārējie citur neklasificētie sporta, atpūtas, kultūras un reliģijas pasākumi</t>
  </si>
  <si>
    <t>09.000</t>
  </si>
  <si>
    <t>Izglītība</t>
  </si>
  <si>
    <t>Pirmsskolas izglītība</t>
  </si>
  <si>
    <t>09.210</t>
  </si>
  <si>
    <t>Vispārējā izglītība. Pamatizglītībā</t>
  </si>
  <si>
    <t>1000                      Atlīdzība</t>
  </si>
  <si>
    <t>2000                      Preces un pakalpojumi</t>
  </si>
  <si>
    <t>3000                      Subsīdijas un dotācijas</t>
  </si>
  <si>
    <t>4000                      Procentu izdevumi</t>
  </si>
  <si>
    <t>5000                      Pamatkapitāla veidošana</t>
  </si>
  <si>
    <t>6000                      Sociāla rakstura maksājumi un kompensācijas</t>
  </si>
  <si>
    <t>7000                      Uzturēšanas izdevumu transferti, pašu resursu maksājumi, starptautiskā sadarbība</t>
  </si>
  <si>
    <t>8000                      Dažādi izdevumi, kas veidojas pēc uzkrāšanas principa un nav klasificēti iepriekš</t>
  </si>
  <si>
    <t>09.211</t>
  </si>
  <si>
    <t>Sākumskolas</t>
  </si>
  <si>
    <t>09.219</t>
  </si>
  <si>
    <t>Vispārējās izglītības mācību iestāžu izdevumi</t>
  </si>
  <si>
    <t>09.222</t>
  </si>
  <si>
    <t>Profesionālā vidējā izglītītba</t>
  </si>
  <si>
    <t>09.410</t>
  </si>
  <si>
    <t>Augstākās (terciārās) izglītības 1.posms</t>
  </si>
  <si>
    <t>Līmeņos nedefinēta izglītība</t>
  </si>
  <si>
    <t>09.510</t>
  </si>
  <si>
    <t>Interešu un profesionālās ievirzes izglītība</t>
  </si>
  <si>
    <t>09.600</t>
  </si>
  <si>
    <t>Izglītības papildus pakalpojumi</t>
  </si>
  <si>
    <t>09.610</t>
  </si>
  <si>
    <t>Izglītojamo pārvadājumu pakalpojumi</t>
  </si>
  <si>
    <t>09.620</t>
  </si>
  <si>
    <t>Izglītojamo ēdināšanas pakalpojumi</t>
  </si>
  <si>
    <t>09.630</t>
  </si>
  <si>
    <t>Izglītojamo izmitināšanas pakalpojumi</t>
  </si>
  <si>
    <t>09.640</t>
  </si>
  <si>
    <t>Izglītojamo pārējie papildu pakalpojumi</t>
  </si>
  <si>
    <t>09.800</t>
  </si>
  <si>
    <t>Pārējā citur neklasificētā izglītība</t>
  </si>
  <si>
    <t>09.810</t>
  </si>
  <si>
    <t>Pārējā izglītības vadība</t>
  </si>
  <si>
    <t>09.820</t>
  </si>
  <si>
    <t>Pārējie citur neklasificētie izglītības pasākumi</t>
  </si>
  <si>
    <t>10.000</t>
  </si>
  <si>
    <t>Sociālā aizsardzība</t>
  </si>
  <si>
    <t>Sociālā aizsardzība darbanespējas gadījumā</t>
  </si>
  <si>
    <t>10.200</t>
  </si>
  <si>
    <t>Atbalsts gados veciem cilvēkiem</t>
  </si>
  <si>
    <t>10.400</t>
  </si>
  <si>
    <t>Atbalsts ģimenēm ar bērniem</t>
  </si>
  <si>
    <t>10.600</t>
  </si>
  <si>
    <t>Mājokļa atbalsts</t>
  </si>
  <si>
    <t>10.700</t>
  </si>
  <si>
    <t>Pārējias citur neklasificēts atbalsts sociāli atstumtām personām</t>
  </si>
  <si>
    <t>10.900</t>
  </si>
  <si>
    <t>Pārējās citur neklasificētā sociālā aizsardzība</t>
  </si>
  <si>
    <t xml:space="preserve">                          III  IZDEVUMI   PĒC EKONOMISKĀS KLASIFIKĀCIJAS</t>
  </si>
  <si>
    <t xml:space="preserve">132 027 310   </t>
  </si>
  <si>
    <t>2.Finansēšana (F4,F5)</t>
  </si>
  <si>
    <t>F4                           AIZŅĒMUMI UN AIZŅĒMUMU ATMAKSA</t>
  </si>
  <si>
    <t>F40021                    Aizņēmumi un aizņēmumu atmaksa Valsts kasei</t>
  </si>
  <si>
    <t>F40022                    Aizņēmumi un aizņēmumu atmaksa VIF</t>
  </si>
  <si>
    <t>99900                      Plānotie aizņēmumi (budžeta plānošanai un sagatavošanai)</t>
  </si>
  <si>
    <t>F5                           AKCIJAS un CITA LĪDZADALĪBA KOMERSANTU PAŠU KAPITĀLĀ</t>
  </si>
  <si>
    <t>F5000                      Līdzdalība radniecīgo uzņēmumu kapitālā, kas nav akcijas</t>
  </si>
  <si>
    <t>F5005                      Līdzdalība asociēto uzņēmumu kapitālā, kas akcijas netiek kotētas fondu biržās</t>
  </si>
  <si>
    <t>F5006                      Līdzdalība asociēto uzņēmumu kapitālā, kas nav akcijas</t>
  </si>
  <si>
    <t xml:space="preserve">IV PAVISAM IZDEVUMI </t>
  </si>
  <si>
    <t xml:space="preserve">117 508 192    </t>
  </si>
  <si>
    <t xml:space="preserve">                          Naudas līdzekļu atlikums gada sākumā</t>
  </si>
  <si>
    <t xml:space="preserve">  20 550 064   </t>
  </si>
  <si>
    <t xml:space="preserve">                          Naudas līdzekļu atlikums gada beigās</t>
  </si>
  <si>
    <t xml:space="preserve">  1 315 137   </t>
  </si>
  <si>
    <t>2.pielikums</t>
  </si>
  <si>
    <t>"Grozījumi Valmieras pilsētas pašvaldības saistošajiem noteikumiem Nr. 82</t>
  </si>
  <si>
    <t>"Par Valmieras novada pašvaldības 2023.gada budžetu""</t>
  </si>
  <si>
    <t xml:space="preserve">VALMIERAS NOVADA PAŠVALDĪBAS KONSOLIDĒTĀ </t>
  </si>
  <si>
    <t>ZIEDOJUMA UN DĀVINĀJUMA BUDŽETA</t>
  </si>
  <si>
    <t>Ekonomiskās klasifikācijas kods</t>
  </si>
  <si>
    <t>Ieņēmumi kopā</t>
  </si>
  <si>
    <t>1.0.</t>
  </si>
  <si>
    <t>Nodokļu ieņēmumi</t>
  </si>
  <si>
    <t>Iedzīvotāju ienākuma nod. iepr.gada nasadalītais atlikums</t>
  </si>
  <si>
    <t>Iedzīvotāju ienākuma nodoklis</t>
  </si>
  <si>
    <t>Nekustamā īpašuma nod. par zemi kārtējā gada ieņēmumi</t>
  </si>
  <si>
    <t>Nekustamā īpašuma nod. par zemi iepriekšējo gadu parādi</t>
  </si>
  <si>
    <t>Nekustamā īpašuma nod. par ēkām, būvēm kārtējā gada ieņēmumi</t>
  </si>
  <si>
    <t>Nekustamā īpašuma nod. par ēkām, būvēm iepriekš.gadu parādi</t>
  </si>
  <si>
    <t>Nekustamā īpašuma nod. par mājokli kārtējā gada ieņēmumi</t>
  </si>
  <si>
    <t>Nekustamā īpašuma nod. par mājokli iepriekšējo gadu parādi</t>
  </si>
  <si>
    <t xml:space="preserve">Dabas resursu nodoklis </t>
  </si>
  <si>
    <t>2.0.</t>
  </si>
  <si>
    <t>Ieņēmumi no dividendēm</t>
  </si>
  <si>
    <t>Procentu ieņēmumi par aizdevumiem nacionālajā valūtā</t>
  </si>
  <si>
    <t>Valsts nodevas</t>
  </si>
  <si>
    <t>Naudas sodi un sankcijas</t>
  </si>
  <si>
    <t>Nenodokļu ieņe'mumi un ieņēmumi no zaudējumu atlīdzībām un kompensācijām</t>
  </si>
  <si>
    <t>Ieņēmumi no ēku un būvju īpašuma pārdošanas</t>
  </si>
  <si>
    <t>Ieņēmumi no pašvaldību kustamā īpašuma un mantas pārdošanas</t>
  </si>
  <si>
    <t>Ieņēmumi no valsts un pašvaldību īpašumu iznomāšanas</t>
  </si>
  <si>
    <t>3.0.</t>
  </si>
  <si>
    <t>Ieņēmumi no budžeta iestāžu sniegtajiem maksas pakalpojumiem</t>
  </si>
  <si>
    <t>Citi pašu ieņēmumi</t>
  </si>
  <si>
    <t>4.0.</t>
  </si>
  <si>
    <t>Ārvalstu finanšu palīdzība</t>
  </si>
  <si>
    <t>Budžeta iestādes ieņēmumi no ārvalstu finanšu palīdzības</t>
  </si>
  <si>
    <t>5.0.</t>
  </si>
  <si>
    <t>Pašvaldību saņemtie valsts budžeta transferti noteiktam mērķim</t>
  </si>
  <si>
    <t>Pašvaldību no valsts budžeta iestādēm saņemtie transferti ES politiku instrumentu un pārējās ārvalstu finanšu palīdzības līdzfinansētajiem projektiem (pasākumiem)</t>
  </si>
  <si>
    <t>PFIF</t>
  </si>
  <si>
    <t>Fizisko personu ziedojumi un dāvinājumi naudā</t>
  </si>
  <si>
    <t xml:space="preserve">Juridisko personu ziedojumi un dāvinājumi naudā </t>
  </si>
  <si>
    <t>Pašvaldības iestāžu saņemtie transferti ES politiku instrumentu un pārējās ārvalstu finanšu palīdzības līdzfinansētajiem projektiem</t>
  </si>
  <si>
    <t>II  IZDEVUMI  KOPĀ PA VALDĪBAS FUNKCIONĀLAJĀM KATEGORIJĀM</t>
  </si>
  <si>
    <t>Vispārējie valdības dienesti</t>
  </si>
  <si>
    <t>1.Uzturēšanas izdevumi (1000,2000,3000,4000,6000,7000)</t>
  </si>
  <si>
    <t>Sociālie pabalsti</t>
  </si>
  <si>
    <t>Uzturēšanas izdevumu transferti</t>
  </si>
  <si>
    <t xml:space="preserve">Izpildvara, likumdošanas vara, finanšuun fiskālās darbības, ārlietas </t>
  </si>
  <si>
    <t>Vis[arējās nozīmes dienesti</t>
  </si>
  <si>
    <t xml:space="preserve">Pašvaldību budžetu  parāda darījumi </t>
  </si>
  <si>
    <t>Vispārēja rakstura transferti starp valsts pārvaldes dažādiem līmeņiem</t>
  </si>
  <si>
    <t xml:space="preserve">Vispārēja rakstura transferti no pašvaldību budžeta pašvaldību budžetam </t>
  </si>
  <si>
    <t>Pārējie citur neklasificētie  vispārēja rakstura transferti starp dažādiem valsts pārvaldes līmeņiem</t>
  </si>
  <si>
    <t>1.Uzturēšanas izdevumi (10000,20000,30000,40000,60000,70000)</t>
  </si>
  <si>
    <t>03.300</t>
  </si>
  <si>
    <t>Tiesu un prokuratūras iestādes</t>
  </si>
  <si>
    <t>03.600</t>
  </si>
  <si>
    <t>Pārējie  iepriekš neklasificētie sabiedriskās kārtības un drošības pakalpojumi</t>
  </si>
  <si>
    <t>Vispārēja ekonomiska, komerciālaun nodarbinātības darbība</t>
  </si>
  <si>
    <t>Lauksaimniecība, mežsaimniecība, zivsaimniecība un medniec;iba</t>
  </si>
  <si>
    <t>Atbalsts lauksaimniecības, mežsaimniecības, zivsaimniecības un medniecības nozaru pasākumiem</t>
  </si>
  <si>
    <t>Kurināmais un  enerģētika</t>
  </si>
  <si>
    <t>Ieguves rūpniecība, apstrādes rūpniecība un būvniecība</t>
  </si>
  <si>
    <t xml:space="preserve">Vispārēja ekonomiskās darbības vadība, darbība vai atbalsts </t>
  </si>
  <si>
    <t>05.100</t>
  </si>
  <si>
    <t>Atkritumu apsaimniekošana</t>
  </si>
  <si>
    <t xml:space="preserve">Notekūdeņu apsaimniekošana </t>
  </si>
  <si>
    <t xml:space="preserve">Bioloģiskās daudzveidības un ainavas aizsardzība </t>
  </si>
  <si>
    <t>05.500</t>
  </si>
  <si>
    <t>Vides aizsardzības lietišķie pētījumi un attīstība</t>
  </si>
  <si>
    <t>Pārējā citur neklsificētā vides aizsardzība</t>
  </si>
  <si>
    <t>Teritoriju un mājokļu apsaimniekošana</t>
  </si>
  <si>
    <t xml:space="preserve">Mājokļu attīstība </t>
  </si>
  <si>
    <t>Teritoriju attīstība</t>
  </si>
  <si>
    <t xml:space="preserve">Ielu apgaismošana </t>
  </si>
  <si>
    <t>Āmbulatoro ārstniecības iestāžu darbība un pakalpojumi</t>
  </si>
  <si>
    <t>Sabiedrības veselības dienestu pakalpojumi</t>
  </si>
  <si>
    <t xml:space="preserve">Atpūtas un sporta pasākumi </t>
  </si>
  <si>
    <t xml:space="preserve">Bibliotēkas </t>
  </si>
  <si>
    <t xml:space="preserve">Muzeji un izstādes </t>
  </si>
  <si>
    <t xml:space="preserve">Kultūras centri, nami, klubi </t>
  </si>
  <si>
    <t xml:space="preserve">Teātri, izrādes un koncertdarbība </t>
  </si>
  <si>
    <t>08.604</t>
  </si>
  <si>
    <t>Pārējie sporta, atpūtas , kultūras pasākumi</t>
  </si>
  <si>
    <t>Reliģisko organizāciju un citu biedrību un nodibinājumu
pakalpojumi</t>
  </si>
  <si>
    <t>Pārējie citur neklasificētie sporta, atpūtas, kultūras un reliģijas pakalpojumi</t>
  </si>
  <si>
    <t xml:space="preserve">Pirmsskolas izglītība </t>
  </si>
  <si>
    <t>Vispārējā izglītība. Pamatizglītība.</t>
  </si>
  <si>
    <t>Vispārējā izglītības mācību iestāžu izdevumi, kuras vienlaikus nodrošina vairāku ISCED-97 līmeņu izglītību</t>
  </si>
  <si>
    <t>09.220</t>
  </si>
  <si>
    <t>Profesionālā izglītība</t>
  </si>
  <si>
    <t xml:space="preserve">Augstākās (terciārās) izglītības 1.posms </t>
  </si>
  <si>
    <t xml:space="preserve">Līmeņos nedefināta izglītība </t>
  </si>
  <si>
    <t xml:space="preserve">Interešu un profesionālās ievirzes izglītība </t>
  </si>
  <si>
    <t>09.530</t>
  </si>
  <si>
    <t>Līmeņos nedefināta izglītība pieaugušajiem</t>
  </si>
  <si>
    <t xml:space="preserve">Pārējie citur neklasificētie izglītības pakalpojumi </t>
  </si>
  <si>
    <t xml:space="preserve">Atbalsts gados veciem cilvēkiem </t>
  </si>
  <si>
    <t xml:space="preserve">Mājokļa atbalsts </t>
  </si>
  <si>
    <t>Pārējais citur nekasificēts atbalsts sociāli atstumtām personām</t>
  </si>
  <si>
    <t xml:space="preserve">Pārējās citur neklasificētā sociālā aizsardzība </t>
  </si>
  <si>
    <t>III  IZDEVUMI   PĒC EKONOMISKĀS KLASIFIKĀCIJAS</t>
  </si>
  <si>
    <t>2.Finansēšana (9700,9800,9900)</t>
  </si>
  <si>
    <t>Aizņēmumi un aizņēmumu atmaksa</t>
  </si>
  <si>
    <t>F40320010</t>
  </si>
  <si>
    <t>Ilgtermiņa aizņēmumi no Valsts kases</t>
  </si>
  <si>
    <t>F40320020</t>
  </si>
  <si>
    <t>Ilgtermiņa aizņēmumu atmaksa Valsts kasei</t>
  </si>
  <si>
    <t>Aizdevumi un aizdevumu atmaksa</t>
  </si>
  <si>
    <t>Aizdevumi</t>
  </si>
  <si>
    <t>Aizdevumu atmaksa</t>
  </si>
  <si>
    <t>Akcijas un cita līdzdalība komersantu pašu kapitālā</t>
  </si>
  <si>
    <t>F55010003 (9910)</t>
  </si>
  <si>
    <t>Līdzdalība radniecīgo uzņēmumu kapitālā, kas nav akcijas</t>
  </si>
  <si>
    <t>Līdzdalība asociēto uzņēmumu kapitālā, kuru akcijas netiek kotētas fondu biržās</t>
  </si>
  <si>
    <t>Līdzdalība asociēto uzņēmumu kapitālā, kas nav akcijas</t>
  </si>
  <si>
    <t xml:space="preserve">III PAVISAM IZDEVUMI </t>
  </si>
  <si>
    <t>Naudas līdzekļu atlikums gada sākumā</t>
  </si>
  <si>
    <t>Naudas līdzekļu atlikums gada beigās</t>
  </si>
  <si>
    <t>4.pielikums</t>
  </si>
  <si>
    <t>"Grozījumi Valmieras novada pašvaldības saistošajos noteikumos Nr.82</t>
  </si>
  <si>
    <t>Valmieras novada pašvaldības aizņēmumu, galvojumu un ilgtermiņa saistību apmērs 2023.gadā  un turpmākajos gados</t>
  </si>
  <si>
    <t>Aizdevējs</t>
  </si>
  <si>
    <t>Mērķis</t>
  </si>
  <si>
    <t>Līguma noslēgšanas datums</t>
  </si>
  <si>
    <t>Aizņēmuma beigu termiņš</t>
  </si>
  <si>
    <t>Līguma Nr.; Trančes Nr.</t>
  </si>
  <si>
    <t>turpmākajos gados</t>
  </si>
  <si>
    <t xml:space="preserve">Pavisam </t>
  </si>
  <si>
    <t>5</t>
  </si>
  <si>
    <t>Valsts kase</t>
  </si>
  <si>
    <t>Dānijas Unibankas bezprocentu kredīta atmaksa</t>
  </si>
  <si>
    <t>20.12.2035.</t>
  </si>
  <si>
    <t>0001/A666</t>
  </si>
  <si>
    <t>pamatsumma</t>
  </si>
  <si>
    <t>%; apkalpošana</t>
  </si>
  <si>
    <t xml:space="preserve">Kopā </t>
  </si>
  <si>
    <t>Ūdenssaimniecības attīstība Ipiķu ciemā</t>
  </si>
  <si>
    <t>20.04.2025.</t>
  </si>
  <si>
    <t>A2/1/05/382</t>
  </si>
  <si>
    <t>P-144/2005</t>
  </si>
  <si>
    <t>Ūdenssaimniecības attīstība Strenču pilsētā</t>
  </si>
  <si>
    <t>22.03.2027.</t>
  </si>
  <si>
    <t>A2/1/07/130</t>
  </si>
  <si>
    <t>FS-1/2007</t>
  </si>
  <si>
    <t>Ēkas Pasta ielā 3 piemērošana Mazsalacas mūzikas un mākslas skolas vajadzībām</t>
  </si>
  <si>
    <t>20.04.2027.</t>
  </si>
  <si>
    <t>A2/1/07/275</t>
  </si>
  <si>
    <t>P-177/2007</t>
  </si>
  <si>
    <t>Mazsalacas pilsētas kultūras centra skatuves un aktieru telpas renovācija P-178/2017</t>
  </si>
  <si>
    <t>A2/1/07/276</t>
  </si>
  <si>
    <t>P-178/2007</t>
  </si>
  <si>
    <t>J.Endzelīna Kauguru pamatskolas ēku renovācijai</t>
  </si>
  <si>
    <t>21.06.2027.</t>
  </si>
  <si>
    <t>A2/1/07/431</t>
  </si>
  <si>
    <t>P-280/2007</t>
  </si>
  <si>
    <t>Kultūras centra rekonstrukcija, Burtnieku nov.</t>
  </si>
  <si>
    <t>20.05.2027.</t>
  </si>
  <si>
    <t>A2/1/07/430</t>
  </si>
  <si>
    <t>P-278/2007</t>
  </si>
  <si>
    <t>20.09.2027.</t>
  </si>
  <si>
    <t>A2/1/07/490</t>
  </si>
  <si>
    <t>FS-11/2007</t>
  </si>
  <si>
    <t>Finanšu stabilizācija Strenči</t>
  </si>
  <si>
    <t>20.12.2027.</t>
  </si>
  <si>
    <t>A2/1/07/662</t>
  </si>
  <si>
    <t>FS-15/2007</t>
  </si>
  <si>
    <t>PII būvniecībai Burtnieku nov.</t>
  </si>
  <si>
    <t>20.04.2028.</t>
  </si>
  <si>
    <t>A2/1/08/385</t>
  </si>
  <si>
    <t>P-90/2008</t>
  </si>
  <si>
    <t>Ūdenssaimniecības pabeigšanai Endzeles ciemā</t>
  </si>
  <si>
    <t>20.02.2023.</t>
  </si>
  <si>
    <t>A2/1/08/444</t>
  </si>
  <si>
    <t>P-57/2008</t>
  </si>
  <si>
    <t>Informācijas, izglītības,sporta un sociālās aprūpes dienas centra " Kaimiņi" būvniecībai</t>
  </si>
  <si>
    <t>20.04.2033.</t>
  </si>
  <si>
    <t>A2/1/08/462</t>
  </si>
  <si>
    <t>P-137/2008</t>
  </si>
  <si>
    <t>SIA Banga KPU pamatkapitāla pelielināšanai P-162/2008</t>
  </si>
  <si>
    <t>A2/1/08/520</t>
  </si>
  <si>
    <t>P-162/2008</t>
  </si>
  <si>
    <t>20.11.2028.</t>
  </si>
  <si>
    <t>A2/1/08/530</t>
  </si>
  <si>
    <t>FS-3/2008</t>
  </si>
  <si>
    <t>Ēkas iegāde, Burtnieku novads</t>
  </si>
  <si>
    <t>20.06.2033.</t>
  </si>
  <si>
    <t>A2/1/08/623</t>
  </si>
  <si>
    <t>P-223/2008</t>
  </si>
  <si>
    <t>Ieguldījums SIA Rūjienas Siltums pamatkapitālā</t>
  </si>
  <si>
    <t>20.12.2028.</t>
  </si>
  <si>
    <t>A2/1/08/876</t>
  </si>
  <si>
    <t>P-379/2008</t>
  </si>
  <si>
    <t>Informācijas, izglītības,sporta un sociālās aprūpes dienas centra " Kaimiņi" būvniecības pabeigšanai</t>
  </si>
  <si>
    <t>20.12.2038.</t>
  </si>
  <si>
    <t>A2/1/08/967</t>
  </si>
  <si>
    <t>P-418/2008</t>
  </si>
  <si>
    <t>Zilākalna pagasta kultūras ielas un gājēju ietves rekonstrukcija</t>
  </si>
  <si>
    <t>20.03.2029.</t>
  </si>
  <si>
    <t>A2/1/09/94</t>
  </si>
  <si>
    <t>P-21/2009</t>
  </si>
  <si>
    <t>ELFLA projekts Vanagu ielas rekonstrukcija</t>
  </si>
  <si>
    <t>20.05.2024.</t>
  </si>
  <si>
    <t>A2/1/09/179</t>
  </si>
  <si>
    <t>P-71/2009</t>
  </si>
  <si>
    <t>ELFLA projekts "Autoceļa "Pagasts-Birzītes" rekonstrukcija Vilpulkas pagastā, Valmieras rajonā"</t>
  </si>
  <si>
    <t>20.05.2029.</t>
  </si>
  <si>
    <t>A2/1/09/250</t>
  </si>
  <si>
    <t>P-126./2009</t>
  </si>
  <si>
    <t>Strenču kultūras nama rekonstrukcija</t>
  </si>
  <si>
    <t>20.12.2030.</t>
  </si>
  <si>
    <t>A2/1/10/223</t>
  </si>
  <si>
    <t>P-41/2010</t>
  </si>
  <si>
    <t>Energoefektivitātes paaugstināšana pašv. ēkās</t>
  </si>
  <si>
    <t>A2/1/10/329</t>
  </si>
  <si>
    <t>P-111/2010</t>
  </si>
  <si>
    <t>Ūdenssaimniecības attīstība Strenču pilsētā 2 . etaps</t>
  </si>
  <si>
    <t>20.03.2040.</t>
  </si>
  <si>
    <t>A2/1/10/507</t>
  </si>
  <si>
    <t>P-197/2010</t>
  </si>
  <si>
    <t>ELFLA projekts Matīšu pamatskolas āra sporta laukuma vienkāršotā rekonstrukcija</t>
  </si>
  <si>
    <t>20.07.2025.</t>
  </si>
  <si>
    <t>A2/1/10/595</t>
  </si>
  <si>
    <t>P-246/2010</t>
  </si>
  <si>
    <t>SIA Banga KPU pamatkapitāla palielināšanai Kohēzijas fonda projekta īstenošanai (trančes Nr.P-392/2010)</t>
  </si>
  <si>
    <t>20.09.2030.</t>
  </si>
  <si>
    <t>A2/1/10/791</t>
  </si>
  <si>
    <t>P-392/2010</t>
  </si>
  <si>
    <t>Strenču kultūras nama rekonstrukcija II kārta</t>
  </si>
  <si>
    <t>22.10.2040.</t>
  </si>
  <si>
    <t>A2/1/10/947</t>
  </si>
  <si>
    <t>P-495/2010</t>
  </si>
  <si>
    <t>ELFLA projekts" Rūjienas vidusskolas sporta zāles projektēšana un būvniecība"</t>
  </si>
  <si>
    <t>20.06.2023.</t>
  </si>
  <si>
    <t>A2/1/10/1059</t>
  </si>
  <si>
    <t>P-532/2010</t>
  </si>
  <si>
    <t>ERAF Burtnieku novada Rencēnu sociālās dzīvojamās mājas vienkāršotā renovācija</t>
  </si>
  <si>
    <t>20.04.2026.</t>
  </si>
  <si>
    <t>A2/1/11/128</t>
  </si>
  <si>
    <t>P-52/2011</t>
  </si>
  <si>
    <t>KPFI Matīšu bērnudārza vienkāršotā rekonstrukcija</t>
  </si>
  <si>
    <t>A2/1/11/127</t>
  </si>
  <si>
    <t>P-53/2011</t>
  </si>
  <si>
    <t>Latvijas -Šveices projekts Multifunkcionālā jaunatnes iniciatīvu centra izveide Burtniekos</t>
  </si>
  <si>
    <t>20.11.2026.</t>
  </si>
  <si>
    <t>A2/1/11/722</t>
  </si>
  <si>
    <t>P-437/2011</t>
  </si>
  <si>
    <t>Rūjienas vidusskolas sporta zāles projektēšana un būvniecība</t>
  </si>
  <si>
    <t>20.01.2032.</t>
  </si>
  <si>
    <t>A2/1/12/21</t>
  </si>
  <si>
    <t>P-5/2012</t>
  </si>
  <si>
    <t>Sedas kultūras nama rekonstrukcija I kārta</t>
  </si>
  <si>
    <t>A2/1/12/100</t>
  </si>
  <si>
    <t>P-64/2012</t>
  </si>
  <si>
    <t>Ūdenssaimniecības attīstība-rekonstrukcija Sedas pilsētā</t>
  </si>
  <si>
    <t>20.04.2042.</t>
  </si>
  <si>
    <t>A2/1/12/101</t>
  </si>
  <si>
    <t>P-65/2012</t>
  </si>
  <si>
    <t>Ūdenssaimniecības infrastruktūras attīstība Jērcēnu pagastā</t>
  </si>
  <si>
    <t>A2/1/12/102</t>
  </si>
  <si>
    <t>P-66/2012</t>
  </si>
  <si>
    <t>Ūdenssaimniecības attīstība Strenču novada Plāņu pagasta Plāņu ciemā</t>
  </si>
  <si>
    <t>20.07.2042.</t>
  </si>
  <si>
    <t>A2/1/12/99</t>
  </si>
  <si>
    <t>P-221/2012</t>
  </si>
  <si>
    <t>Ūdenssaimniecības attīstība Strenču pilsētā, 3.etaps</t>
  </si>
  <si>
    <t>20.08.2042.</t>
  </si>
  <si>
    <t>A2/1/12/413</t>
  </si>
  <si>
    <t>P-287/2012</t>
  </si>
  <si>
    <t>Burtnieku novada Burtnieku PII rekonstrukcija</t>
  </si>
  <si>
    <t>20.08.2027.</t>
  </si>
  <si>
    <t>A2/1/12/475</t>
  </si>
  <si>
    <t>P-318/2012</t>
  </si>
  <si>
    <t>Matīšu pagasts pirmsskolas izglītības iestādes vienkāršotā rekonstrukcija</t>
  </si>
  <si>
    <t>20.10.2027.</t>
  </si>
  <si>
    <t>A2/1/12/652</t>
  </si>
  <si>
    <t>P-419/2012.</t>
  </si>
  <si>
    <t>Dzirnavu un Ozolu ielu posmu rekonstrukcija Valmiermuižā</t>
  </si>
  <si>
    <t>22.11.2027.</t>
  </si>
  <si>
    <t>A2/1/12/691</t>
  </si>
  <si>
    <t>P-430/2012</t>
  </si>
  <si>
    <t>20.01.2028.</t>
  </si>
  <si>
    <t>A2/1/13/29</t>
  </si>
  <si>
    <t>P-13/2013</t>
  </si>
  <si>
    <t>Tranzītielas posma Valkas ielā rekonstrukcija Strenču pilsētā</t>
  </si>
  <si>
    <t>20.07.2043.</t>
  </si>
  <si>
    <t>A2/1/13/365</t>
  </si>
  <si>
    <t>P248/2013</t>
  </si>
  <si>
    <t>"Vides investīciju fonds" SIA</t>
  </si>
  <si>
    <t>ERAF projekts "Ūdenssaimniecības attīstība Kocēnu novada Dikļu ciemā" II kārta</t>
  </si>
  <si>
    <t>20.10.2023.</t>
  </si>
  <si>
    <t>PA00536</t>
  </si>
  <si>
    <t>33/2013</t>
  </si>
  <si>
    <t>Ūdenssaimniecības attīstība Strenču novada Plāņu pagasta Jaunklidža ciemā"</t>
  </si>
  <si>
    <t>20.12.2023.</t>
  </si>
  <si>
    <t>A2/1/13/1204</t>
  </si>
  <si>
    <t>P-477/2013</t>
  </si>
  <si>
    <t>Strenču novada vidusskolas ēkas logu,ārdurvju un pādējā stāva pārseguma siltināšana</t>
  </si>
  <si>
    <t>A2/1/14/659</t>
  </si>
  <si>
    <t>P-423/2014</t>
  </si>
  <si>
    <t>Pirmsskolas izglītības iestādes būvniecība ar ārējām komunikācijām Ozolu iela 2A, Valmiermuižā</t>
  </si>
  <si>
    <t>20.02.2029.</t>
  </si>
  <si>
    <t>A2/1/14/97</t>
  </si>
  <si>
    <t>P-54/2014</t>
  </si>
  <si>
    <t>KPFI projekts (Nr.KPFI-15.2/131) oglekļa dioksīda emisiju samazināšana,uzlabojot Naukšēnu novada Naukšēnu vidusskolas ēkas enorgoefektivitāti"  īstenošanai</t>
  </si>
  <si>
    <t>20.04.2034.</t>
  </si>
  <si>
    <t>A2/1/14/252</t>
  </si>
  <si>
    <t>P-154/2014</t>
  </si>
  <si>
    <t>Tranzītielas posma-Rīgas-Valkas ielā rekonstrukcija Strenču pilsētā</t>
  </si>
  <si>
    <t>20.07.2044.</t>
  </si>
  <si>
    <t>A2/1/14/491</t>
  </si>
  <si>
    <t>P-327/2014</t>
  </si>
  <si>
    <t>Ūdenssaimnicības attīstība Strenču pilsētā 4.etaps</t>
  </si>
  <si>
    <t>A2/1/14/492</t>
  </si>
  <si>
    <t>P-328/2014</t>
  </si>
  <si>
    <t>Kompleksi risinājumi siltumnīcefekta gāzu emisiju samazināšanai Rūjienas kultūras nama ēkā</t>
  </si>
  <si>
    <t>20.12.2024.</t>
  </si>
  <si>
    <t>A2/1/14/835</t>
  </si>
  <si>
    <t>P-545/2014</t>
  </si>
  <si>
    <t>Kompleksi risinājumi siltumnīcefekta gāzu emisiju samazināšanai sociālās aprūpes centra " Lode" ēkā</t>
  </si>
  <si>
    <t>A2/1/14/836</t>
  </si>
  <si>
    <t>P-546/2014</t>
  </si>
  <si>
    <t>KPFI projekts Burtnieku Ausekļa vidusskolā</t>
  </si>
  <si>
    <t>A2/1/14/871</t>
  </si>
  <si>
    <t>P-562/2014</t>
  </si>
  <si>
    <t>Ozolu ielas rekonstrukcija</t>
  </si>
  <si>
    <t>20.11.2034.</t>
  </si>
  <si>
    <t>A2/1/14/870</t>
  </si>
  <si>
    <t>P-561/2014</t>
  </si>
  <si>
    <t>Kompleksi risinājumi siltumnīcefekta gāzu emisiju samazināšanai Rūjienas vidusskolas ēkā</t>
  </si>
  <si>
    <t>A2/1/14/864</t>
  </si>
  <si>
    <t>P-558/2014</t>
  </si>
  <si>
    <t>KPFI projekts Rencēnu pagasta 2.bibliotēkas ēka</t>
  </si>
  <si>
    <t>20.11.2029.</t>
  </si>
  <si>
    <t>A2/1/14/964</t>
  </si>
  <si>
    <t>P-612/2014</t>
  </si>
  <si>
    <t>Ūdenssaimniecības attīstība-rekonstrukcija Sedas pilsētā,2.etaps</t>
  </si>
  <si>
    <t>20.03.2045.</t>
  </si>
  <si>
    <t>A2/1/15/137</t>
  </si>
  <si>
    <t>P-85/2015</t>
  </si>
  <si>
    <t>Burtnieku novada pašvaldības PII "Burtiņš" III kārtas būvniecība</t>
  </si>
  <si>
    <t>22.07.2030.</t>
  </si>
  <si>
    <t>A2/1/15/412</t>
  </si>
  <si>
    <t>P-276/2015</t>
  </si>
  <si>
    <t>Rencēnu internāta ēkas atjaunošana Valmieras ielā 23, Rencēnos</t>
  </si>
  <si>
    <t>20.07.2035.</t>
  </si>
  <si>
    <t>A2/1/15/413</t>
  </si>
  <si>
    <t>P-277/2015</t>
  </si>
  <si>
    <t>Prioritārais investīciju projekts "Rūjienas vidusskolas sporta laukuma rekonstrukcijas un teritorijas labiekārtošanas 1. kārta"</t>
  </si>
  <si>
    <t>A2/1/15/376</t>
  </si>
  <si>
    <t>P-251/2015</t>
  </si>
  <si>
    <t>Naukšēnu novada vidusskolas nepabeigtās piebūves renovācija</t>
  </si>
  <si>
    <t>A2/1/15/434</t>
  </si>
  <si>
    <t>P-295/2015</t>
  </si>
  <si>
    <t>Lauku ielas seguma pārbūves I kārta Valmieras pagastā</t>
  </si>
  <si>
    <t>20.10.2030.</t>
  </si>
  <si>
    <t>A2/1/15/591</t>
  </si>
  <si>
    <t>P-390/2015</t>
  </si>
  <si>
    <t>Pašvaldības autonomo funkciju veikšanai nepieciešamā transporta (vieglās automašīnas un operatīvā transporta) iegādei Valmiera</t>
  </si>
  <si>
    <t>A2/1/16/204</t>
  </si>
  <si>
    <t>P-110/2016</t>
  </si>
  <si>
    <t>Nekustamā īpašuma "Ēveles klubs" rekonstrukcija</t>
  </si>
  <si>
    <t>20.08.2036.</t>
  </si>
  <si>
    <t>A2/1/16/345</t>
  </si>
  <si>
    <t>P-241/2016</t>
  </si>
  <si>
    <t>Prioritārā investīciju projekta "Nekustamā īpašuma "Matīšu kultūras nams" rekonstrukcija" īstenošanai</t>
  </si>
  <si>
    <t>20.05.2042.</t>
  </si>
  <si>
    <t>A2/1/17/333</t>
  </si>
  <si>
    <t>P-228/2017</t>
  </si>
  <si>
    <t>Projekta "Burtnieku novada pašvaldības pirmsskolas izglītības iestādes "Sienāzītis" pārbūve" īstenošanai</t>
  </si>
  <si>
    <t>20.07.2032.</t>
  </si>
  <si>
    <t>A2/1/17/498</t>
  </si>
  <si>
    <t>P-365/2017</t>
  </si>
  <si>
    <t>Projekta "Viestura ciema ielu seguma pārbūve Valmieras pagastā, Burtnieku novadā"īstenošanai</t>
  </si>
  <si>
    <t>A2/1/17/587</t>
  </si>
  <si>
    <t>P442/2017</t>
  </si>
  <si>
    <t>EFLA projekts Autoceļa Ķire-Jaunlambikas un tilta pār Rūju pārbūve / Naukšēni</t>
  </si>
  <si>
    <t>20.08.2037.</t>
  </si>
  <si>
    <t>A2/1/17/661</t>
  </si>
  <si>
    <t>P-506/2017</t>
  </si>
  <si>
    <t>ERAF projekts Uzņēmējdarbības attīstībai nepieciešamās infrastruktūras attīstība Naukšēnu pagastā</t>
  </si>
  <si>
    <t>A2/1/17/672</t>
  </si>
  <si>
    <t>P-520/2017</t>
  </si>
  <si>
    <t>līg.P-554/2017; pansionāta "Valmiera" investīciju projektu īstenošanai</t>
  </si>
  <si>
    <t>A2/1/17/715</t>
  </si>
  <si>
    <t>P-554/2017</t>
  </si>
  <si>
    <t>Projekta "Mazsalacā Parka ielas pārbūve posmā no Lazdu ielas līdz Muižas ielai (pārvads)" īstenošanai (tranče Nr.P-587/2017)</t>
  </si>
  <si>
    <t>A2/1/17/758</t>
  </si>
  <si>
    <t>P-587/2017</t>
  </si>
  <si>
    <t>Projekta "Dzirnavu ielas pārbūve un gājēju ietves izbūve (Alejas iela) Valmieras pagastā, Burtnieku novadā, īstenošanai</t>
  </si>
  <si>
    <t>20.10.2032.</t>
  </si>
  <si>
    <t>A2/1/17/765</t>
  </si>
  <si>
    <t>P-595/2017</t>
  </si>
  <si>
    <t>Prioritārais investīciju projekts "Rūjienas estrādes rekonstrukcija"</t>
  </si>
  <si>
    <t>A2/1/17/805</t>
  </si>
  <si>
    <t>P-625/2017</t>
  </si>
  <si>
    <t>Projekta "Nekustamā īpašuma "Matīšu kultūras nams" rekonstrukcija" īstenošanai</t>
  </si>
  <si>
    <t>22.12.2042.</t>
  </si>
  <si>
    <t>A2/1/17/917</t>
  </si>
  <si>
    <t>P-687/2017</t>
  </si>
  <si>
    <t>līg.P-75/2018; Būvprojekta "Kultūra, vēsture, arhitektūra Gaujas laiku lokos" izstrādei</t>
  </si>
  <si>
    <t>A2/1/18/91</t>
  </si>
  <si>
    <t>P-75/2018</t>
  </si>
  <si>
    <t>ERAF projektu Nr.8.1.2.0/18/I/004; Nr.4.2.2.0/18/I/ 002 Dienesta viesnīcas Ausekļa ielā 25 C, Valmierā pārbūves uzsākšanai</t>
  </si>
  <si>
    <t>20.02.2043.</t>
  </si>
  <si>
    <t>A2/1/18/94</t>
  </si>
  <si>
    <t>P-76/2018</t>
  </si>
  <si>
    <t>ERAF projekta Nr.8.1.2.0/18/I/004 daļas Valmieras Pārgaujas ģimnāzija Zvaigžņu ielā 4, Valmierā pārbūve, mācību vides uzlabošana</t>
  </si>
  <si>
    <t>20.05.2043.</t>
  </si>
  <si>
    <t>A2/1/18/311</t>
  </si>
  <si>
    <t>P-253/2018</t>
  </si>
  <si>
    <t>22.06.2043.</t>
  </si>
  <si>
    <t>A2/1/18/402</t>
  </si>
  <si>
    <t>P-336/2018</t>
  </si>
  <si>
    <t>Projekta "Rencēnu pamatskolas stadiona pārbūve Rencēnos, Rencēnu pagastā Burtnieku novadā" īstenošanai</t>
  </si>
  <si>
    <t>20.06.2038.</t>
  </si>
  <si>
    <t>A2/1/18/404</t>
  </si>
  <si>
    <t>P-334/2018</t>
  </si>
  <si>
    <t>Būvprojekta "Burtnieku novada pašvaldības pirmsskolas izglītības iestādes "Burtiņš" ēkas piebūves būvniecība un teritorijas labiekārtošana" izstrādei</t>
  </si>
  <si>
    <t>A2/1/18/403</t>
  </si>
  <si>
    <t>P-335/2018</t>
  </si>
  <si>
    <t>Projekta "Lauku ielas seguma pārbūves 2.kārta Valmiermuižā, Valmieras pagastā, Burtnieku novadā" īstenošanai</t>
  </si>
  <si>
    <t>20.07.2033.</t>
  </si>
  <si>
    <t>A2/1/18/470</t>
  </si>
  <si>
    <t>P-389/2018</t>
  </si>
  <si>
    <t>ERAF projekta Nr.8.1.2.0/18/I/004 daļas- Valmieras Viestura vidusskolas pārbūve, mācību vides uzlabošana īstenošanai</t>
  </si>
  <si>
    <t>A2/1/18/525</t>
  </si>
  <si>
    <t>P-442/2018</t>
  </si>
  <si>
    <t>līg.P-441/2018; Valmieras pilsētas pašvaldības investīciju projektu dokumentācijas izstrādei(atbilstoši aizņēmuma ekonomiskajā pamatojumā norādītajiem projektiem)</t>
  </si>
  <si>
    <t>20.07.2023.</t>
  </si>
  <si>
    <t>A2/1/18/526</t>
  </si>
  <si>
    <t>P-441/2018</t>
  </si>
  <si>
    <t>Igaunijas-Latvijas pārrobežu sadarbības programmas projekta "Zaļais dzelzceļš-bijušo dzelzceļa līniju pielāgošana videi draudzīgā tūrisma maršrutā(investīciju daļas) īstenošanai"</t>
  </si>
  <si>
    <t>20.08.2028.</t>
  </si>
  <si>
    <t>A2/1/18/584</t>
  </si>
  <si>
    <t>P-496/2018</t>
  </si>
  <si>
    <t>Projekta "Burtnieku novada pašvaldības autoceļu remontdarbi 2018.gada vasaras periodā" īstenošanai</t>
  </si>
  <si>
    <t>20.09.2028.</t>
  </si>
  <si>
    <t>A2/1/18/686</t>
  </si>
  <si>
    <t>P-592/2018</t>
  </si>
  <si>
    <t>Projekta "Dzirnavu ielas seguma pārbūve Valmieras pagastā, Burtnieku novadā" īstenošanai</t>
  </si>
  <si>
    <t>20.10.2033.</t>
  </si>
  <si>
    <t>A2/1/18/733</t>
  </si>
  <si>
    <t>P-615/2018</t>
  </si>
  <si>
    <t>Prioritārā investīciju projekta "Valtenberģu muižas jumta seguma maiņa Mazsalacā " īstenošanai P-631/2018</t>
  </si>
  <si>
    <t>20.10.2028.</t>
  </si>
  <si>
    <t>A2/1/18/766</t>
  </si>
  <si>
    <t>P-631/2018</t>
  </si>
  <si>
    <t>ELFLA projekta (Nr.17-09-AL20-A019.2202-000012) " Tūrisma, izziņas, novadpētniecības veicināšana Kocēnu novada Zilākalna ciemā" īstenošanai"</t>
  </si>
  <si>
    <t>A2/1/18/837</t>
  </si>
  <si>
    <t>P-684/2018</t>
  </si>
  <si>
    <t>Prioritārais investīciju projekts "Stāvlaukuma pārbūve Alejas ielā 8, Kocēnos,Kocēnu pagastā, Kocēnu novadā" īstenošanai</t>
  </si>
  <si>
    <t>20.04.2029.</t>
  </si>
  <si>
    <t>A2/1/18/836</t>
  </si>
  <si>
    <t>P-685/2018</t>
  </si>
  <si>
    <t>ELFLA projekta "Pašvaldības nozīmes koplietošanas meliorācijas sistēmas atjaunošana Burtnieku novadā</t>
  </si>
  <si>
    <t>22.12.2025.</t>
  </si>
  <si>
    <t>A2/1/18/857</t>
  </si>
  <si>
    <t>P-711/2018</t>
  </si>
  <si>
    <t>Valsts nozīmes sporta infrasruktūras attīstības projekta Vidzemes Olimpiskā centra Valmierā attīstības projekta daļas BMX trases būvniecības daļēja finansēšana</t>
  </si>
  <si>
    <t>21.03.2044.</t>
  </si>
  <si>
    <t>A2/1/19/53</t>
  </si>
  <si>
    <t>P-22/2019</t>
  </si>
  <si>
    <t>ERAF projekta (Nr.4.2.2.0/17/I/096)"Energoefektivitātes paaugstināšana izglītības iestādē, Nākotnes ielā 1, Vaidava" īstenošanai</t>
  </si>
  <si>
    <t>A2/1/19/119</t>
  </si>
  <si>
    <t>P-60/2019</t>
  </si>
  <si>
    <t>Valsts nozīmes sporta infrastruktūras attīstības projekta "J.Daliņa stadiona rekonstrukcija un vieglatlētikas manēžas būvniecība" īstenošanai"</t>
  </si>
  <si>
    <t>20.04.2049.</t>
  </si>
  <si>
    <t>A2/1/19/155</t>
  </si>
  <si>
    <t>P-109/2019</t>
  </si>
  <si>
    <t>ELFLA projekts Autoceļa Mūļas-Ķipi-Naukšēni pārbūve</t>
  </si>
  <si>
    <t>A2/1/19/217</t>
  </si>
  <si>
    <t>P-129/2019</t>
  </si>
  <si>
    <t>ERAF projekts Naukšēnu novada pašvaldības administratīvās ēkas energoefektivitātes paaugstināšana</t>
  </si>
  <si>
    <t>20.05.2039.</t>
  </si>
  <si>
    <t>A2/1/19/218</t>
  </si>
  <si>
    <t>P-128/2019</t>
  </si>
  <si>
    <t>KF projekta (Nr.6.1.4.2/17/I/007)"Valmieras pilsētas Rietumu industriālās maģistrāles attīstība-L.Paegles ielas savienojums ar TNT-T tīklu" īstenošanai</t>
  </si>
  <si>
    <t>20.06.2034.</t>
  </si>
  <si>
    <t>A2/1/19/240</t>
  </si>
  <si>
    <t>P-163/2019</t>
  </si>
  <si>
    <t>ELFLA projekta (Nr.18-09-A00702-000108) "Grants ceļa Graudiņi - Pučurga - Matīši pārbūve 3.078 km garumā" īstenošanai</t>
  </si>
  <si>
    <t>A2/1/19/242</t>
  </si>
  <si>
    <t>P-152/2019</t>
  </si>
  <si>
    <t>ELFLA projekta (Nr.18-09-A00702-000085) "Grants ceļa Sauļi - Melluplūķi pārbūve 3.51 km garumā" īstenošanai</t>
  </si>
  <si>
    <t>A2/1/19/260</t>
  </si>
  <si>
    <t>P-172/2019</t>
  </si>
  <si>
    <t>ELFLA projekta (Nr.18-09-A00702-000106) “Pašvaldības grantētā ceļa “Jaunmakuļi - Zilaiskalns” pārbūve” īstenošanai</t>
  </si>
  <si>
    <t>20.09.2029.</t>
  </si>
  <si>
    <t>A2/1/19/350</t>
  </si>
  <si>
    <t>P-230/2019</t>
  </si>
  <si>
    <t>ERAF projekta (Nr.3.3.1.0/19/I/001) "Atbalsts komercdarbībai - Kauguru ielas pārbūve" īstenošanai</t>
  </si>
  <si>
    <t>20.10.2034.</t>
  </si>
  <si>
    <t>A2/1/19/382</t>
  </si>
  <si>
    <t>P-250/2019</t>
  </si>
  <si>
    <t>Ieguldījums pašvaldības SIA "Rūjienas siltums" pamatkapitālā KF projekta (Nr.4.3.1.0/18/A/027) "Centralizētās siltumapgādes pārvades sistēmas efektivitātes uzlabošana Rūjienā" īstenošanai</t>
  </si>
  <si>
    <t>20.11.2022.</t>
  </si>
  <si>
    <t>A2/1/19/447</t>
  </si>
  <si>
    <t>P-281/2019</t>
  </si>
  <si>
    <t>ERAF projekta (Nr.4.2.2.0/17/I/095)"Energoefektivitātes paaugstināšana Kocēnu inovada domes ēkā Alejas iela 8,Kocēni" īstenošanai</t>
  </si>
  <si>
    <t>A2/1/19/464</t>
  </si>
  <si>
    <t>P-294/2019</t>
  </si>
  <si>
    <t>ERAF projekta (Nr.8.1.2.0/18/I/004) "Valmieras Pārgaujas ģimnāzijas un Valmieras Viestura vidusskolas mācību vides uzlabošana un Dienesta viesīcas Ausekļa ielā pārbūve" īstenošanai</t>
  </si>
  <si>
    <t>20.04.2045.</t>
  </si>
  <si>
    <t>A2/1/20/362</t>
  </si>
  <si>
    <t>P-149/2020</t>
  </si>
  <si>
    <t>ERAF projekta (Nr.4.2.2.0/18/I/002) "Dienesta viesnīcas Ausekļa ielā energoefektivitātes paaugstināšana un pārbūve  īstenošanai</t>
  </si>
  <si>
    <t>20.07.2045.</t>
  </si>
  <si>
    <t>A2/1/20/439</t>
  </si>
  <si>
    <t>P-184/2020</t>
  </si>
  <si>
    <t>Latvijas - Krievijas pārrobežu sadarbības programmas projekta (Nr.LV-RU-016) "Ilgtspējīgas zaļās infrastruktūras un pievilcīgu atpūtas zonu attīstība dabā" (Zaļie torņi)" investīciju daļas īstenošanai</t>
  </si>
  <si>
    <t>03.08.2020.</t>
  </si>
  <si>
    <t>A2/1/20/484</t>
  </si>
  <si>
    <t>P-220/2020</t>
  </si>
  <si>
    <t>Projekta"Mālu ielas Valmierā (posmā no Beātes ielas līdz Matīšu šosejai)pārbūve" īstenošanai</t>
  </si>
  <si>
    <t>A2/1/20/535</t>
  </si>
  <si>
    <t>P-233/2020</t>
  </si>
  <si>
    <t>Projekta"Teodora Ūdera un Tālavas ielas Valmierā pārbūve" īstenošanai</t>
  </si>
  <si>
    <t>A2/1/20/534</t>
  </si>
  <si>
    <t>P-234/2020</t>
  </si>
  <si>
    <t>Projekta "Valmieras pilsētas pašvaldības transporta infrastruktūras attīstība - kopējo gājēju un velosipēdistu ceļu izbūve Valkas ielā un Rubenes ielā, Valmierā" īstenošanai</t>
  </si>
  <si>
    <t>20.08.2035.</t>
  </si>
  <si>
    <t>A2/1/20/619</t>
  </si>
  <si>
    <t>P-288/2020</t>
  </si>
  <si>
    <t>Projekta "Valdemāra ielas pārbūve posmā no Rīgas iela līdz Aldara ielai Rūjienā, Rūjienas novadā" īstenošanai</t>
  </si>
  <si>
    <t>20.09.2045.</t>
  </si>
  <si>
    <t>A2/1/20/728</t>
  </si>
  <si>
    <t>P-379/2020</t>
  </si>
  <si>
    <t>projekta "Vaidavas ciema centra laukuma un tam piegulošās teritorijas labiekārtošanas 1.kārta - Skolas iela Vaidavā, Vaidavas pagastā" īstenošanai</t>
  </si>
  <si>
    <t>A2/1/20/749</t>
  </si>
  <si>
    <t>P-388/2020</t>
  </si>
  <si>
    <t>EKII projekta (Nr.EKII-3/30) "Viedo tehnoloģiju ieviešana Valmieras pilsētas apgaismojuma sistēmā" īstenošanai</t>
  </si>
  <si>
    <t>20.11.2035.</t>
  </si>
  <si>
    <t>A2/1/20/855</t>
  </si>
  <si>
    <t>P-475/2020</t>
  </si>
  <si>
    <t>ERAF projekta (Nr.5.5.1.0/17/I/004) "Kultūra,vēsture,arhitektūra Gaujas un laika lokos" īstenošanai</t>
  </si>
  <si>
    <t>20.11.2040.</t>
  </si>
  <si>
    <t>A2/1/20/856</t>
  </si>
  <si>
    <t>P-474/2020</t>
  </si>
  <si>
    <t>Autoceļa Breidas - Zemgaļi pārbūves 2.kārta</t>
  </si>
  <si>
    <t>A2/1/20/884</t>
  </si>
  <si>
    <t>P-486/2020</t>
  </si>
  <si>
    <t>projekta "Liepu ielas pārbūve Kocēnos" īstenošanai</t>
  </si>
  <si>
    <t>20.11.2030.</t>
  </si>
  <si>
    <t>A2/1/20/893</t>
  </si>
  <si>
    <t>P-496/2020</t>
  </si>
  <si>
    <t>projekta "Vidus ielas pārbūve Kocēnos, 2.kārta" īstenošanai</t>
  </si>
  <si>
    <t>A2/1/20/892</t>
  </si>
  <si>
    <t>P-497/2020</t>
  </si>
  <si>
    <t>ERAF projekta (Nr.5.5.1.0/20/I/001) "Valmieras Vēsturiskā centra attīstība" īstenošanai</t>
  </si>
  <si>
    <t>21.01.2041.</t>
  </si>
  <si>
    <t>A2/1/21/15</t>
  </si>
  <si>
    <t>P-6/2021</t>
  </si>
  <si>
    <t>Investīciju projektu īstenošanai (saistību pārjaunojums)</t>
  </si>
  <si>
    <t>20.11.2043.</t>
  </si>
  <si>
    <t>A2/1/21/25</t>
  </si>
  <si>
    <t>PP-2/2021</t>
  </si>
  <si>
    <t xml:space="preserve">ERAF projekta (Nr.9.3.1.1/18/I/027)"Sabiedrības balstītu sociālo pakalpojumu infrastruktūras izveide Mazsalacas novadā" īstenošanai </t>
  </si>
  <si>
    <t>20.02.2041.</t>
  </si>
  <si>
    <t>A2/1/21/40</t>
  </si>
  <si>
    <t>P-13/2021</t>
  </si>
  <si>
    <t>ERAF projekta (Nr.4.2.2.0/19/I/002) "Ēkas Stacijas ielā 26, Valmierā energoefektivitātes paaugstināšana" īstenošanai</t>
  </si>
  <si>
    <t>20.03.2036.</t>
  </si>
  <si>
    <t>A2/1/21/93</t>
  </si>
  <si>
    <t>P-47/2021</t>
  </si>
  <si>
    <t>PSIA “Banga KPU” pamatkapitāla palielināšanai prioritārā investīciju projekta “Objekta “Ūdensapgādes un kanalizācijas tīkli R.Dārziņa, Lielajā, Dzirnavu, Aurupītes ielās, Mazsalacā, Mazsalacas novadā, 2.līdz 7. kārtas” būvniecība” īstenošanai</t>
  </si>
  <si>
    <t>23.04.2041.</t>
  </si>
  <si>
    <t>A2/1/21/151</t>
  </si>
  <si>
    <t>P-101/2021</t>
  </si>
  <si>
    <t>Investīciju projektu īstenošanai (saistību pārjaunojums- Kocēnu novada aizņēmumiem)</t>
  </si>
  <si>
    <t>A2/1/21/200</t>
  </si>
  <si>
    <t>PP-15/2021</t>
  </si>
  <si>
    <t>ERAF projekta Nr.9.3.1.1/18/I007 "Pakalpojumu infrastruktūras attīstība deinstitucionalizācijas plāna īstenošanai Kocēnu novadā" īstenošanai</t>
  </si>
  <si>
    <t>20.05.2031.</t>
  </si>
  <si>
    <t>A2/1/21/293</t>
  </si>
  <si>
    <t>P-197/2021</t>
  </si>
  <si>
    <t>ERAF projekta (Nr.9.3.1.1/19/I/043) "Sabiedrībā balstītu sociālo pakalpojumu centra izveide Rūjienā" īstenošanai</t>
  </si>
  <si>
    <t>20.05.2041.</t>
  </si>
  <si>
    <t>A2/1/21/292</t>
  </si>
  <si>
    <t>P-199/2021</t>
  </si>
  <si>
    <t>Prioritārā investīciju projekta "Rūjienas pirmsskolas izglītības iestādes "Vārpiņa" teritroijas labiekārtošanas darbu 4,kārtas un 5.kārtas realizēšanas" īstenošanai</t>
  </si>
  <si>
    <t>20.06.2036</t>
  </si>
  <si>
    <t>A2/1/21/341</t>
  </si>
  <si>
    <t>P-229/2021</t>
  </si>
  <si>
    <t>Prioritārā investīciju projekta "Aktīvās atpūtas un sporta parka izbūve Rīgas ielā 43A, Valmierā" īstenošanai</t>
  </si>
  <si>
    <t>20.06.2036.</t>
  </si>
  <si>
    <t>A2/1/21/356</t>
  </si>
  <si>
    <t>P-251/2021</t>
  </si>
  <si>
    <t>Satiksmes drošības uzlabošana Pulkveža Zemitāna ielā Strenčos ( posmā no 0,005 km līdz krustojumam ar Miera ielu)</t>
  </si>
  <si>
    <t>20.07.2051.</t>
  </si>
  <si>
    <t>A2/1/21/458</t>
  </si>
  <si>
    <t>P-332/2021</t>
  </si>
  <si>
    <t>Projekta "Arāju ielas pārbūve Kocēnos" īstenošanai</t>
  </si>
  <si>
    <t>06.10.2021.</t>
  </si>
  <si>
    <t>22.09.2031.</t>
  </si>
  <si>
    <t>A2/1/21/610</t>
  </si>
  <si>
    <t>P-449/2021</t>
  </si>
  <si>
    <t>Projekta "Bērzu  ielas pārbūve Kocēnos" īstenošanai</t>
  </si>
  <si>
    <t>A2/1/21/611</t>
  </si>
  <si>
    <t>P-448/2021</t>
  </si>
  <si>
    <t>"Trīsstūris", Hallartes ielas 1.kārtas izbūve Valmieras pagastā, Burtnieku novadā</t>
  </si>
  <si>
    <t>20.09.2041.</t>
  </si>
  <si>
    <t>A2/1/21/612</t>
  </si>
  <si>
    <t>P-428/2021</t>
  </si>
  <si>
    <t>Ieguldījums pašvaldības SIA "Rūjienas siltums" pamatkapitālā KF projekta (Nr.5.3.1.0/17/I/026) "Ūdenssaimniecības pakalpojumu attīstība Rūjienā, 2.kārta" īstenošanai</t>
  </si>
  <si>
    <t>15.10.2021.</t>
  </si>
  <si>
    <t>20.09.2024.</t>
  </si>
  <si>
    <t>A2/1/21/633</t>
  </si>
  <si>
    <t>P-479/2021</t>
  </si>
  <si>
    <t>Valmieras pirmsskolas izglītības iestādes "Varavīksne" telpu Raiņa ielā 11, Valmiera pārbūve</t>
  </si>
  <si>
    <t>07.12.2021.</t>
  </si>
  <si>
    <t>20.11.2046.</t>
  </si>
  <si>
    <t>A2/1/21/743</t>
  </si>
  <si>
    <t>P-565/2021</t>
  </si>
  <si>
    <t>ERAF projekta " Industriālo teritoriju attīstība Valmierā - 1.kārta " SAM 5.6.2. ar komercdarbības atbalstu</t>
  </si>
  <si>
    <t>23.12.2021.</t>
  </si>
  <si>
    <t>20.12.2041.</t>
  </si>
  <si>
    <t>A2/1/21/777</t>
  </si>
  <si>
    <t>P-582/2021</t>
  </si>
  <si>
    <t>ERAF projekta" Industriālo teritoriju attīstība Valmierā - 1.kārta" - SAM 5.6.2.</t>
  </si>
  <si>
    <t>A2/1/21/778</t>
  </si>
  <si>
    <t>P-581/2021</t>
  </si>
  <si>
    <t>Valmieras valsts ģimnāzijas mācību vides uzlabošana un dienesta viesnīcas Ausekļa ielā pārbūve 2.kārta , SAM 8.1.2.</t>
  </si>
  <si>
    <t>28.02.2022.</t>
  </si>
  <si>
    <t>20.02.2047.</t>
  </si>
  <si>
    <t>A2/1/22/32</t>
  </si>
  <si>
    <t>P -10/ 2022</t>
  </si>
  <si>
    <t xml:space="preserve">Dienesta viesnīcas Ausekļa ielā energoefektivitātes paaugstināšana un pārbūve- 2.kārta, SAM 4.2.2.  </t>
  </si>
  <si>
    <t>20.02.2042.</t>
  </si>
  <si>
    <t>A2/1/22/33</t>
  </si>
  <si>
    <t>P - 9 /2022</t>
  </si>
  <si>
    <t>Daudzfunkcionālā sociālo pakalpojumu centra un grupu dzīvokļu izveide Valmieras pilsētā - SAM 9.3.1.1.</t>
  </si>
  <si>
    <t>04.07.2022.</t>
  </si>
  <si>
    <t>20.06.2042.</t>
  </si>
  <si>
    <t>A2/1/22/167</t>
  </si>
  <si>
    <t>P -111/2022</t>
  </si>
  <si>
    <t>Raiņa ielas divkārtu asfalta seguma atjaunošana Rūjienā, Valmieras novadā</t>
  </si>
  <si>
    <t>17.08.2022.</t>
  </si>
  <si>
    <t>20.07.2037.</t>
  </si>
  <si>
    <t>A2/1/22/315</t>
  </si>
  <si>
    <t>P -227/2022</t>
  </si>
  <si>
    <t>Gājēju ietvju atjaunošana Ādama Alkšņa ielā un Raiņa ielā Rūjienā, Valmieras novadā</t>
  </si>
  <si>
    <t>A2/1/22/316</t>
  </si>
  <si>
    <t>P -228/2022</t>
  </si>
  <si>
    <t>Ielu divkārtu virsmu apstrāde Valmierā 1.kārta</t>
  </si>
  <si>
    <t>A2/1/22/317</t>
  </si>
  <si>
    <t>P -229/2022</t>
  </si>
  <si>
    <t>Ielu divkārtu virsmu apstrāde Valmierā 2.kārta</t>
  </si>
  <si>
    <t>A2/1/22/318</t>
  </si>
  <si>
    <t>P -230/2022</t>
  </si>
  <si>
    <t>Ūdens ielas (posmā no Smiltenes līdz Pleskavas ielai) Valmierā pārbūve</t>
  </si>
  <si>
    <t>A2/1/22/319</t>
  </si>
  <si>
    <t>P -231/2022</t>
  </si>
  <si>
    <t>Pašvaldības ēkas Palejas ielā 5, Valmierā energoefektivitātes paaugstināšana - SAM 4.2.2.</t>
  </si>
  <si>
    <t>12.09.2022.</t>
  </si>
  <si>
    <t>A2/1/22/376</t>
  </si>
  <si>
    <t>P -260/2022</t>
  </si>
  <si>
    <t>Ceļa “Apvedceļš - Sapas” divkārtu virsmu apstrāde Kauguru pagastā, Valmieras novadā</t>
  </si>
  <si>
    <t>24.10.2022.</t>
  </si>
  <si>
    <t>20.10.2037.</t>
  </si>
  <si>
    <t>A2/1/22/462</t>
  </si>
  <si>
    <t>P -321/2022</t>
  </si>
  <si>
    <t>ERAF projekta (Nr.5.5.1.0/20/I/001) "Valmieras Vēsturiskā centra attīstība" papildus finansēšanai</t>
  </si>
  <si>
    <t>19.06.2023.</t>
  </si>
  <si>
    <t>A2/1/23/144</t>
  </si>
  <si>
    <t>P -94/2023</t>
  </si>
  <si>
    <t xml:space="preserve">ERAF projekta “Pašvaldības pakalpojuma centra Valmieras ielā 13, Rencēnos energoefektivitātes paaugstināšana” </t>
  </si>
  <si>
    <t>1.06.2023.</t>
  </si>
  <si>
    <t>20.05.2033.</t>
  </si>
  <si>
    <t>A2/1/23/127</t>
  </si>
  <si>
    <t>P -81/2023</t>
  </si>
  <si>
    <t>ERAF SAM 4.2.2. projekta “Pašvaldības ēkas Vaidavā, Skolas ielā 1 energoefektivitātes uzlabošana”</t>
  </si>
  <si>
    <t>A2/1/23/128</t>
  </si>
  <si>
    <t>P -82/2023</t>
  </si>
  <si>
    <t>ERAF SAM 5.4.3. projekta “Antropogēnās slodzes samazināšana un kompleksu apsaimniekošanas pasākumu īstenošana dabas liegumā “Zilaiskalns””</t>
  </si>
  <si>
    <t>09.2023.</t>
  </si>
  <si>
    <t>09.2038.</t>
  </si>
  <si>
    <t>Projekts</t>
  </si>
  <si>
    <t>SAM 6.1.4. projekta “Dienvidu industriālās maģistrāles attīstība - L.Laicena iela līdz zemes vienībai “Vecais dzelzceļš” pārbūve/izbūve, Cēsu ielas pārbūve no zemes vien. “Vecais dzelzceļš” līdz Valmieras pilsētas robežai</t>
  </si>
  <si>
    <t>31.07.2023.</t>
  </si>
  <si>
    <t>20.07.2038.</t>
  </si>
  <si>
    <t>A2/1/23/222</t>
  </si>
  <si>
    <t>P -160/2023</t>
  </si>
  <si>
    <t>ERAF projekta" Industriālo teritoriju attīstība Valmierā - 2.kārta" - SAM 5.6.2.</t>
  </si>
  <si>
    <t>09.2048.</t>
  </si>
  <si>
    <t>EKII projekta (Nr.EKII-7/26) "Publisko teritoriju ielu apgaismojuma inženiertīklu pārbūve Valmierā, Valmieras novadā" īstenošanai</t>
  </si>
  <si>
    <t>07.2023.</t>
  </si>
  <si>
    <t>07.2038.</t>
  </si>
  <si>
    <t>Valmieras 2.vidusskolas investīciju projekts "Mazās sporta zāles pārbūve"</t>
  </si>
  <si>
    <t>26.09.2023.</t>
  </si>
  <si>
    <t>20.09.2043.</t>
  </si>
  <si>
    <t>A2/1/23/402</t>
  </si>
  <si>
    <t>P - 327/2023</t>
  </si>
  <si>
    <t>Ceļa darbu un apgaismojuma pārbūve Ozolu ielā un Iršuparka alejā, Valmiermuiža, Valmieras pag., valmieras novadā</t>
  </si>
  <si>
    <t>13.07.2023.</t>
  </si>
  <si>
    <t>A2/1/23/206</t>
  </si>
  <si>
    <t>P-146/2023</t>
  </si>
  <si>
    <t xml:space="preserve">Pašvaldības autoceļa “Rūjienas šoseja - Slaunes - Valkas šoseja" posma pārbūve (0.00 līdz 0.680 km </t>
  </si>
  <si>
    <t>11.09.2023.</t>
  </si>
  <si>
    <t>20.08.2038.</t>
  </si>
  <si>
    <t>A2/1/23/352</t>
  </si>
  <si>
    <t>P-274/2023</t>
  </si>
  <si>
    <t xml:space="preserve">Gājēju ietves pārbūve Rubenes ciemā, Kocēnu pagastā </t>
  </si>
  <si>
    <t>20.08.2033.</t>
  </si>
  <si>
    <t>A2/1/23/356</t>
  </si>
  <si>
    <t>P-278/2023</t>
  </si>
  <si>
    <t>Dārza ielas pārbūve, Kocēnu pagastā, Valmieras novadā</t>
  </si>
  <si>
    <t>A2/1/23/355</t>
  </si>
  <si>
    <t>P-277/2023</t>
  </si>
  <si>
    <t xml:space="preserve">Ielas un ietves atjaunošana Rīgas iela, Rūjienā (posmā no Blaumaņa līdz Pērnavas ielai) </t>
  </si>
  <si>
    <t>12.07.2023.</t>
  </si>
  <si>
    <t>21.06.2038.</t>
  </si>
  <si>
    <t>A2/1/23/198</t>
  </si>
  <si>
    <t>P-142/2023</t>
  </si>
  <si>
    <t xml:space="preserve">Ielu un ietvju atjaunošana Skolas iela (posmā no Dārza līdz Viestura ielai, Viestura iela (posmā no Skolas līdz Lāčplēša ielai), Stacijas iela (posmā no Skolas līdz Viestura ielai) , Rūjienā </t>
  </si>
  <si>
    <t>A2/1/23/197</t>
  </si>
  <si>
    <t>P-141/2023</t>
  </si>
  <si>
    <t>Grantēto ielu divkārtu virsmas pastrāde Kalna iela un Jāņa Lielā iela, Mazsalacā</t>
  </si>
  <si>
    <t>A2/1/23/354</t>
  </si>
  <si>
    <t>P-276/2023</t>
  </si>
  <si>
    <t xml:space="preserve">Gājēju ietves un lietus ūdens atvades risinājuma būvniecība Trikātas ielā un Pulkveža Brieža ielā, Strenčos </t>
  </si>
  <si>
    <t>A2/1/23/353</t>
  </si>
  <si>
    <t>P-275/2023</t>
  </si>
  <si>
    <t xml:space="preserve">Tērbatas iela posmā no apaļā veikala līdz Viestura alejai, ieskaitot krustojumus, Valmierā asfalta virskārtas nomaiņa </t>
  </si>
  <si>
    <t>A2/1/23/196</t>
  </si>
  <si>
    <t>P-140/2023</t>
  </si>
  <si>
    <t>Rubenes, Raiņa, Valkas ielu rotācijas aplis, Valmierā pārbūve</t>
  </si>
  <si>
    <t>A2/1/23/194</t>
  </si>
  <si>
    <t>P-138/2023</t>
  </si>
  <si>
    <t>Georga Apiņa ielas, Valmierā (posmā no Rīgas ielas līdz Beātes ielai)  remontam</t>
  </si>
  <si>
    <t>A2/1/23/195</t>
  </si>
  <si>
    <t>P-139/2023</t>
  </si>
  <si>
    <t>Ķieģeļu ielas , Valmierā, izbūvei posmā no Dzegu ielas līdz Parka ielai,</t>
  </si>
  <si>
    <t>A2/1/23/192</t>
  </si>
  <si>
    <t>P-137/2023</t>
  </si>
  <si>
    <t xml:space="preserve">Vanšu tilta atjaunošana Valmierā </t>
  </si>
  <si>
    <t>A2/1/23/350</t>
  </si>
  <si>
    <t>P-273/2023</t>
  </si>
  <si>
    <t xml:space="preserve">Lietus ūdens atvades izbūve Uzvaras un Dārza ielās, Sedas pilsētā </t>
  </si>
  <si>
    <t>08.2033.</t>
  </si>
  <si>
    <t>x</t>
  </si>
  <si>
    <t xml:space="preserve">Valmieras novada pašvaldības aizņēmumi </t>
  </si>
  <si>
    <t>Kopā</t>
  </si>
  <si>
    <t>II. Galvojumi</t>
  </si>
  <si>
    <t>Projekta "Cietā kurināmā apkures katla ar granulu degli piegāde un uzstādīšana Burtnieku ciema un Burtnieku skolas katlu mājās / SIA Kocēnu komunālā saimniecība"(no 28.12.2022.)</t>
  </si>
  <si>
    <t xml:space="preserve">20.11.2018. </t>
  </si>
  <si>
    <t>A1/1/18/812</t>
  </si>
  <si>
    <t>Eiropas Savienības Kohēzijas fonda projektu īstenošanai / SIA Kocēnu komunālā saimniecība</t>
  </si>
  <si>
    <t>17.11.2015</t>
  </si>
  <si>
    <t>20.10.2035.</t>
  </si>
  <si>
    <t>A1/1/15/613</t>
  </si>
  <si>
    <t>ERAF projekta Nr.3.3.1.0/16/I/024 "Uzņemējdarbības attīstībai nepieciešamās infrastruktūras attīstība Kocēnu novada Kocēnu pagasta Kocēnos", īstenošanai</t>
  </si>
  <si>
    <t>09.11.2018</t>
  </si>
  <si>
    <t>20.10.2038.</t>
  </si>
  <si>
    <t>A1/1/18/760</t>
  </si>
  <si>
    <t>12.07.2019</t>
  </si>
  <si>
    <t>20.06.2039.</t>
  </si>
  <si>
    <t>A1/1/19/262; A1/1/19/263; A1/1/19/265</t>
  </si>
  <si>
    <t>Katlu mājas Rūjienā, Rīgas ielā 67a tehnoloģisko iekārtu un konstrukciju piegāde un montāža</t>
  </si>
  <si>
    <t>30.08.2016</t>
  </si>
  <si>
    <t>20.08.2026.</t>
  </si>
  <si>
    <t>A1/1/16/317</t>
  </si>
  <si>
    <t>Siltumavota efektivitātes uzlabošana katlu mājā Ausekļa ielā 5, Rūjienā</t>
  </si>
  <si>
    <t>02.07.2019</t>
  </si>
  <si>
    <t>A1/1/19/246</t>
  </si>
  <si>
    <t>SIA "Rūjienas siltums" aizņēmumam KF projekta Nr.5.3.1.0/17/I/026 īstenošanai</t>
  </si>
  <si>
    <t>A2/1/21/749;   K-20/2021</t>
  </si>
  <si>
    <t>Valmieras novada pašvaldības galvojumi</t>
  </si>
  <si>
    <t xml:space="preserve">Valmieras novada pašvaldības saistības  kopā </t>
  </si>
  <si>
    <t xml:space="preserve"> Saistību apjoms % </t>
  </si>
  <si>
    <t>no pamatbudžeta ieņēmumiem (bez mērķdotācijām un iemaksām PFIF) **</t>
  </si>
  <si>
    <t>5.pielikums</t>
  </si>
  <si>
    <t>Valsts mērķdotācijas sadalījums 2023.gadam Valmieras novada pašvaldības</t>
  </si>
  <si>
    <t xml:space="preserve"> interešu izglītības programmu pedagogu</t>
  </si>
  <si>
    <t xml:space="preserve"> darba samaksai un valsts sociālās apdrošināšanas obligātām iemaksām</t>
  </si>
  <si>
    <t>Nr. p.k.</t>
  </si>
  <si>
    <t>Mācību iestādes nosaukums</t>
  </si>
  <si>
    <t>Plāns</t>
  </si>
  <si>
    <t>Izglītojamo</t>
  </si>
  <si>
    <t xml:space="preserve">2023.gadā </t>
  </si>
  <si>
    <t>finansējuma</t>
  </si>
  <si>
    <t>2023.gadā</t>
  </si>
  <si>
    <t>skaits</t>
  </si>
  <si>
    <t xml:space="preserve"> 8 mēnešiem</t>
  </si>
  <si>
    <t>precizēšana</t>
  </si>
  <si>
    <t xml:space="preserve"> 4 mēn.</t>
  </si>
  <si>
    <t xml:space="preserve"> 12 mēn.</t>
  </si>
  <si>
    <t>01.09.2022.</t>
  </si>
  <si>
    <t>EUR</t>
  </si>
  <si>
    <t>01.09.2023.</t>
  </si>
  <si>
    <t>9=6+8</t>
  </si>
  <si>
    <t>Brenguļu sākumskola</t>
  </si>
  <si>
    <t>J. Endzelīna Kauguru pamatskola</t>
  </si>
  <si>
    <t>Trikātas pamatskola</t>
  </si>
  <si>
    <t>Rencēnu pamatskola</t>
  </si>
  <si>
    <t>Burtnieku Ausekļa pamatskola</t>
  </si>
  <si>
    <t>Matīšu pamatskola</t>
  </si>
  <si>
    <t>Kocēnu pamatskola</t>
  </si>
  <si>
    <t>Rubenes pamatskola</t>
  </si>
  <si>
    <t>J.Neikena Dikļu pamatskola</t>
  </si>
  <si>
    <t>Ziemeļvidzemes pamatskola</t>
  </si>
  <si>
    <t xml:space="preserve"> Mazsalacas vidusskola </t>
  </si>
  <si>
    <t>Naukšēnu vidusskola</t>
  </si>
  <si>
    <t>Rūjienas vidusskola</t>
  </si>
  <si>
    <t>Strenču pamatskola</t>
  </si>
  <si>
    <t>Valmieras Valsts Ģimnāzija</t>
  </si>
  <si>
    <t>Valmieras 2.vidusskola</t>
  </si>
  <si>
    <t>Valmieras Viestura vidusskola</t>
  </si>
  <si>
    <t>Valmieras Pārgaujas Valsts ģimnāzija</t>
  </si>
  <si>
    <t>Valmieras 5.vidusskola</t>
  </si>
  <si>
    <t>Valmieras Pārgaujas sākumskola</t>
  </si>
  <si>
    <t>Valmieras sākumskola</t>
  </si>
  <si>
    <t>Valmieras Gaujas krasta vidusskola - AC</t>
  </si>
  <si>
    <t>Valmieras jaunatnes centrs Vinda</t>
  </si>
  <si>
    <t>Privāto Izglītības iestāžu kopējie izdevumi Valmieras novadā</t>
  </si>
  <si>
    <t>6.pielikums</t>
  </si>
  <si>
    <t xml:space="preserve">   Valsts mērķdotācijas sadalījums 2023.gadam Valmieras novada pašvaldības</t>
  </si>
  <si>
    <t xml:space="preserve">   pamata un vispārējās vidējās izglītības iestāžu pedagogu darba samaksai </t>
  </si>
  <si>
    <t xml:space="preserve">   un valsts sociālās apdrošināšanas obligātām iemaksām</t>
  </si>
  <si>
    <t xml:space="preserve"> 4 mēnešiem</t>
  </si>
  <si>
    <t>7.pielikums</t>
  </si>
  <si>
    <t xml:space="preserve">Valsts mērķdotācijas sadalījums  2023.gadam Valmieras novada pašvaldības </t>
  </si>
  <si>
    <t>Izglītības iestāžu reģistrā reģistrētajiem attīstības un rehabilitācijas centriem,</t>
  </si>
  <si>
    <t>speciālajām internātskolām bērniem ar fiziskās un garīgās attīistības traucējumiem</t>
  </si>
  <si>
    <t>Nr.</t>
  </si>
  <si>
    <t>Iestāde</t>
  </si>
  <si>
    <t>Pedagogu</t>
  </si>
  <si>
    <t>Iestādes</t>
  </si>
  <si>
    <t>Papildus</t>
  </si>
  <si>
    <t>darba</t>
  </si>
  <si>
    <t xml:space="preserve">uzturēšanas </t>
  </si>
  <si>
    <t>finansējums</t>
  </si>
  <si>
    <t>20232.gadā</t>
  </si>
  <si>
    <t>p.k.</t>
  </si>
  <si>
    <t xml:space="preserve">samaksai un </t>
  </si>
  <si>
    <t>izdevumiem</t>
  </si>
  <si>
    <t xml:space="preserve">ārstniecības </t>
  </si>
  <si>
    <t>4 mēnešiem</t>
  </si>
  <si>
    <t>12 mēnešiem</t>
  </si>
  <si>
    <t>VSAOI</t>
  </si>
  <si>
    <t>personām</t>
  </si>
  <si>
    <t>kopā</t>
  </si>
  <si>
    <t>MD</t>
  </si>
  <si>
    <t xml:space="preserve">VSAOI </t>
  </si>
  <si>
    <t>8=(5+6+7)</t>
  </si>
  <si>
    <t>12=(10+11)</t>
  </si>
  <si>
    <t>15=(13+14)</t>
  </si>
  <si>
    <t>KOPĀ</t>
  </si>
  <si>
    <t>Kopā Valmieras Gaujas krasta vidusskola - attīstības centrs</t>
  </si>
  <si>
    <t>t.sk.</t>
  </si>
  <si>
    <t>Valmieras Gaujas krasta vidusskola - attīstības centrs</t>
  </si>
  <si>
    <t>Leona Paegles ielā 5/7 un Leona Paegles ielā 20, Valmiera un Skolas iela 5 un Nākotnes iela 1, Vaidava, Kocēnu pagasts</t>
  </si>
  <si>
    <t xml:space="preserve">Valmieras Gaujas krasta vidusskola - attīstības centrs </t>
  </si>
  <si>
    <t>Jumaras iela 9, Valmiera</t>
  </si>
  <si>
    <t>Rūjienas pirmsskolas izglītības iestāde "Vārpiņa"</t>
  </si>
  <si>
    <t>8.pielikums</t>
  </si>
  <si>
    <t>izglītības iestādēs bērnu no piecu gadu vecuma izglītošanā nodarbināto</t>
  </si>
  <si>
    <t>pedagogu darba samaksai un valsts sociālās apdrošināšanas obligātām iemaksām</t>
  </si>
  <si>
    <t>Izglītoj.</t>
  </si>
  <si>
    <t>7=4+6</t>
  </si>
  <si>
    <t>Valmieras pirmsskolas izglītības iestāde "Varavīksne"</t>
  </si>
  <si>
    <t>Valmieras pirmsskolas izglītības iestāde "Ābelīte"</t>
  </si>
  <si>
    <t>Valmieras pirmsskolas izglītības iestāde "Ezītis"</t>
  </si>
  <si>
    <t>Valmieras pirmsskolas izglītības iestāde "Sprīdītis"</t>
  </si>
  <si>
    <t>Valmieras pirmsskolas izglītības iestāde "Vālodzīte"</t>
  </si>
  <si>
    <t>Valmieras pirmsskolas izglītības iestāde "Krācītes"</t>
  </si>
  <si>
    <t>Valmieras pirmsskolas izglītības iestāde "Kārliena"</t>
  </si>
  <si>
    <t>Valmieras  pirmsskolas izglītības iestāde "Pienenīte"</t>
  </si>
  <si>
    <t>Valmieras pirmsskolas izglītības iestāde "Buratino"</t>
  </si>
  <si>
    <t>Mūrmuižas pirmsskolas izglītības iestāde "Pasaciņa"</t>
  </si>
  <si>
    <t>Valmiermuižas pirmsskolas izglītības iestāde "Burtiņš"</t>
  </si>
  <si>
    <t>Matīšu pirmsskolas izglītības iestāde "Namiņš"</t>
  </si>
  <si>
    <t>Burtnieku pirmsskolas izglītības iestāde "Sienāzītis"</t>
  </si>
  <si>
    <t>Jura Neikena Dikļu pamatskola</t>
  </si>
  <si>
    <t>Kocēnu pirmsskolas izglītības iestāde "Auseklītis"</t>
  </si>
  <si>
    <r>
      <t xml:space="preserve">Mazsalacas pirmsskolas izglītības iestāde </t>
    </r>
    <r>
      <rPr>
        <sz val="10"/>
        <color rgb="FF000000"/>
        <rFont val="Times New Roman"/>
        <family val="1"/>
        <charset val="186"/>
      </rPr>
      <t>"Dārziņš"</t>
    </r>
  </si>
  <si>
    <t>Naukšēnu novada vidusskola</t>
  </si>
  <si>
    <t>Strenču pirmsskolas izglītības iestāde "Minkāns"</t>
  </si>
  <si>
    <t>9.pielikums</t>
  </si>
  <si>
    <t>Valsts budžeta līdzekļu sadalījums 2023.gadam Valmieras novada pašvaldības</t>
  </si>
  <si>
    <t>izglītības iestāžu  1. - 4. klašu audzēkņu ēdināšanai</t>
  </si>
  <si>
    <t>Mērķdotācijas</t>
  </si>
  <si>
    <t>Korekcija</t>
  </si>
  <si>
    <t>ieņēmumiem</t>
  </si>
  <si>
    <t xml:space="preserve">atlikums </t>
  </si>
  <si>
    <t>par 29.05.2023.</t>
  </si>
  <si>
    <t>ieņēmumiem ar korekciju</t>
  </si>
  <si>
    <t>2022./2023.m.g.</t>
  </si>
  <si>
    <t>uz 01.01.2023.</t>
  </si>
  <si>
    <t>2023/2024.m.g.</t>
  </si>
  <si>
    <t>2023. gadā</t>
  </si>
  <si>
    <t>2. semestris</t>
  </si>
  <si>
    <t>1. semestris</t>
  </si>
  <si>
    <t>1.klase</t>
  </si>
  <si>
    <t>2.klase</t>
  </si>
  <si>
    <t>3.klase</t>
  </si>
  <si>
    <t>4.klase</t>
  </si>
  <si>
    <t>Jāņa Endzelīna Kauguru pamatskola</t>
  </si>
  <si>
    <t>Mazsalacas vidusskola</t>
  </si>
  <si>
    <t>Pamatskola "UNIVERSUM"</t>
  </si>
  <si>
    <t>Privātā pamatskola "ZAĻĀ SKOLA"</t>
  </si>
  <si>
    <t>Valmieras novada pašvaldības saistošajiem noteikumiem Nr.104</t>
  </si>
  <si>
    <t>"Grozījumi Valmieras pilsētas pašvaldības saistošajiem noteikumiem Nr.82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</si>
</sst>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);\(#,##0\)"/>
    <numFmt numFmtId="165" formatCode="\-0\ ;##0;##0"/>
    <numFmt numFmtId="166" formatCode="0.000"/>
    <numFmt numFmtId="167" formatCode="_-* #,##0_-;\-* #,##0_-;_-* &quot;-&quot;??_-;_-@_-"/>
    <numFmt numFmtId="168" formatCode="_-* #,##0\ _€_-;\-* #,##0\ _€_-;_-* &quot;-&quot;??\ _€_-;_-@_-"/>
    <numFmt numFmtId="169" formatCode="#,##0_ ;\-#,##0\ "/>
    <numFmt numFmtId="170" formatCode="0_ ;\-0\ "/>
  </numFmts>
  <fonts count="4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sz val="12"/>
      <name val="Times New Roman Baltic"/>
      <family val="1"/>
      <charset val="186"/>
    </font>
    <font>
      <sz val="10"/>
      <name val="Times New Roman Baltic"/>
      <charset val="186"/>
    </font>
    <font>
      <sz val="10"/>
      <color rgb="FF000000"/>
      <name val="Arial"/>
      <family val="2"/>
      <charset val="186"/>
    </font>
    <font>
      <sz val="10"/>
      <color rgb="FF444649"/>
      <name val="Times New Roman"/>
      <family val="1"/>
      <charset val="186"/>
    </font>
    <font>
      <b/>
      <sz val="10"/>
      <color rgb="FF444649"/>
      <name val="Times New Roman"/>
      <family val="1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FFFF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1"/>
      <name val="Times New Roman Baltic"/>
      <charset val="186"/>
    </font>
    <font>
      <sz val="10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b/>
      <i/>
      <sz val="10"/>
      <name val="Times New Roman Baltic"/>
      <charset val="186"/>
    </font>
    <font>
      <sz val="10"/>
      <color indexed="8"/>
      <name val="Times New Roman Baltic"/>
      <family val="1"/>
      <charset val="186"/>
    </font>
    <font>
      <b/>
      <sz val="10"/>
      <color indexed="8"/>
      <name val="Times New Roman Baltic"/>
      <family val="1"/>
      <charset val="186"/>
    </font>
    <font>
      <b/>
      <sz val="12"/>
      <name val="Arial"/>
      <family val="2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sz val="8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i/>
      <sz val="10"/>
      <name val="Arial"/>
      <family val="2"/>
      <charset val="186"/>
    </font>
    <font>
      <sz val="9"/>
      <name val="Arial"/>
      <family val="2"/>
      <charset val="186"/>
    </font>
    <font>
      <sz val="9.5"/>
      <color indexed="8"/>
      <name val="Arial"/>
      <family val="2"/>
      <charset val="186"/>
    </font>
    <font>
      <sz val="9.5"/>
      <name val="Arial"/>
      <family val="2"/>
      <charset val="186"/>
    </font>
    <font>
      <sz val="10"/>
      <color indexed="8"/>
      <name val="Tahoma"/>
      <family val="2"/>
      <charset val="186"/>
    </font>
    <font>
      <i/>
      <sz val="9.5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  <charset val="186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Arial"/>
      <family val="2"/>
      <charset val="186"/>
    </font>
    <font>
      <i/>
      <sz val="8"/>
      <name val="Arial"/>
      <family val="2"/>
      <charset val="186"/>
    </font>
    <font>
      <sz val="10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name val="Arial"/>
      <family val="2"/>
    </font>
    <font>
      <sz val="11"/>
      <name val="Arial"/>
      <family val="2"/>
      <charset val="186"/>
    </font>
  </fonts>
  <fills count="2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1"/>
      </patternFill>
    </fill>
    <fill>
      <patternFill patternType="solid">
        <fgColor rgb="FF99CCFF"/>
      </patternFill>
    </fill>
    <fill>
      <patternFill patternType="solid">
        <fgColor rgb="FF96BF40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6FBF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E2EFD9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rgb="FFC0C0C0"/>
      </top>
      <bottom style="thin">
        <color rgb="FFC0C0C0"/>
      </bottom>
      <diagonal/>
    </border>
    <border>
      <left style="medium">
        <color rgb="FF333333"/>
      </left>
      <right/>
      <top style="thin">
        <color rgb="FFC0C0C0"/>
      </top>
      <bottom style="dashed">
        <color rgb="FF808080"/>
      </bottom>
      <diagonal/>
    </border>
    <border>
      <left style="medium">
        <color rgb="FF333333"/>
      </left>
      <right style="thin">
        <color auto="1"/>
      </right>
      <top style="thin">
        <color rgb="FFC0C0C0"/>
      </top>
      <bottom style="dashed">
        <color rgb="FF808080"/>
      </bottom>
      <diagonal/>
    </border>
    <border>
      <left style="medium">
        <color rgb="FF333333"/>
      </left>
      <right/>
      <top/>
      <bottom style="dashed">
        <color rgb="FF808080"/>
      </bottom>
      <diagonal/>
    </border>
    <border>
      <left style="medium">
        <color rgb="FF333333"/>
      </left>
      <right style="thin">
        <color auto="1"/>
      </right>
      <top/>
      <bottom style="dashed">
        <color rgb="FF333333"/>
      </bottom>
      <diagonal/>
    </border>
    <border>
      <left style="medium">
        <color rgb="FF333333"/>
      </left>
      <right/>
      <top/>
      <bottom style="thin">
        <color rgb="FFC0C0C0"/>
      </bottom>
      <diagonal/>
    </border>
    <border>
      <left style="medium">
        <color rgb="FF333333"/>
      </left>
      <right style="thin">
        <color auto="1"/>
      </right>
      <top/>
      <bottom style="thin">
        <color rgb="FFC0C0C0"/>
      </bottom>
      <diagonal/>
    </border>
    <border>
      <left style="thin">
        <color auto="1"/>
      </left>
      <right/>
      <top style="thin">
        <color rgb="FFCECECE"/>
      </top>
      <bottom style="thin">
        <color rgb="FFCECECE"/>
      </bottom>
      <diagonal/>
    </border>
    <border>
      <left style="medium">
        <color rgb="FF333333"/>
      </left>
      <right/>
      <top style="thin">
        <color rgb="FFCECECE"/>
      </top>
      <bottom style="dashed">
        <color rgb="FF808080"/>
      </bottom>
      <diagonal/>
    </border>
    <border>
      <left style="medium">
        <color rgb="FF333333"/>
      </left>
      <right style="thin">
        <color auto="1"/>
      </right>
      <top style="thin">
        <color rgb="FFCECECE"/>
      </top>
      <bottom style="dashed">
        <color rgb="FF808080"/>
      </bottom>
      <diagonal/>
    </border>
    <border>
      <left style="medium">
        <color rgb="FF333333"/>
      </left>
      <right/>
      <top/>
      <bottom style="thin">
        <color rgb="FFCECECE"/>
      </bottom>
      <diagonal/>
    </border>
    <border>
      <left style="medium">
        <color rgb="FF333333"/>
      </left>
      <right style="thin">
        <color auto="1"/>
      </right>
      <top/>
      <bottom style="thin">
        <color rgb="FFCECECE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rgb="FF333333"/>
      </left>
      <right style="thin">
        <color auto="1"/>
      </right>
      <top/>
      <bottom style="dashed">
        <color rgb="FF808080"/>
      </bottom>
      <diagonal/>
    </border>
    <border>
      <left style="thin">
        <color auto="1"/>
      </left>
      <right/>
      <top style="thin">
        <color rgb="FFC0C0C0"/>
      </top>
      <bottom style="dashed">
        <color rgb="FF808080"/>
      </bottom>
      <diagonal/>
    </border>
    <border>
      <left style="thin">
        <color auto="1"/>
      </left>
      <right/>
      <top/>
      <bottom style="thin">
        <color rgb="FFC0C0C0"/>
      </bottom>
      <diagonal/>
    </border>
    <border>
      <left style="thin">
        <color auto="1"/>
      </left>
      <right/>
      <top/>
      <bottom style="dashed">
        <color rgb="FF80808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01">
    <xf numFmtId="0" fontId="0" fillId="0" borderId="0" xfId="0"/>
    <xf numFmtId="3" fontId="3" fillId="0" borderId="0" xfId="0" applyNumberFormat="1" applyFont="1" applyAlignment="1">
      <alignment horizontal="right"/>
    </xf>
    <xf numFmtId="3" fontId="0" fillId="0" borderId="0" xfId="0" applyNumberFormat="1"/>
    <xf numFmtId="0" fontId="6" fillId="0" borderId="0" xfId="2" applyFont="1" applyAlignment="1">
      <alignment horizontal="center"/>
    </xf>
    <xf numFmtId="3" fontId="6" fillId="0" borderId="0" xfId="2" applyNumberFormat="1" applyFont="1" applyAlignment="1">
      <alignment horizontal="center"/>
    </xf>
    <xf numFmtId="0" fontId="7" fillId="3" borderId="0" xfId="0" applyFont="1" applyFill="1" applyAlignment="1">
      <alignment horizontal="left" vertical="top"/>
    </xf>
    <xf numFmtId="0" fontId="8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right" vertical="top" wrapText="1"/>
    </xf>
    <xf numFmtId="164" fontId="10" fillId="3" borderId="8" xfId="0" applyNumberFormat="1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left" vertical="center" wrapText="1"/>
    </xf>
    <xf numFmtId="164" fontId="11" fillId="3" borderId="10" xfId="0" applyNumberFormat="1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left" vertical="center" wrapText="1"/>
    </xf>
    <xf numFmtId="164" fontId="11" fillId="3" borderId="12" xfId="0" applyNumberFormat="1" applyFont="1" applyFill="1" applyBorder="1" applyAlignment="1">
      <alignment horizontal="right" vertical="center"/>
    </xf>
    <xf numFmtId="164" fontId="10" fillId="3" borderId="15" xfId="0" applyNumberFormat="1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horizontal="left" vertical="center" wrapText="1"/>
    </xf>
    <xf numFmtId="164" fontId="11" fillId="3" borderId="17" xfId="0" applyNumberFormat="1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top" wrapText="1"/>
    </xf>
    <xf numFmtId="164" fontId="10" fillId="5" borderId="8" xfId="0" applyNumberFormat="1" applyFont="1" applyFill="1" applyBorder="1" applyAlignment="1">
      <alignment horizontal="right" vertical="center"/>
    </xf>
    <xf numFmtId="164" fontId="10" fillId="5" borderId="19" xfId="0" applyNumberFormat="1" applyFont="1" applyFill="1" applyBorder="1" applyAlignment="1">
      <alignment horizontal="right" vertical="center"/>
    </xf>
    <xf numFmtId="164" fontId="11" fillId="3" borderId="19" xfId="0" applyNumberFormat="1" applyFont="1" applyFill="1" applyBorder="1" applyAlignment="1">
      <alignment horizontal="right" vertical="center"/>
    </xf>
    <xf numFmtId="164" fontId="10" fillId="2" borderId="8" xfId="0" applyNumberFormat="1" applyFont="1" applyFill="1" applyBorder="1" applyAlignment="1">
      <alignment horizontal="right" vertical="center"/>
    </xf>
    <xf numFmtId="164" fontId="10" fillId="2" borderId="19" xfId="0" applyNumberFormat="1" applyFont="1" applyFill="1" applyBorder="1" applyAlignment="1">
      <alignment horizontal="right" vertical="center"/>
    </xf>
    <xf numFmtId="164" fontId="10" fillId="6" borderId="8" xfId="0" applyNumberFormat="1" applyFont="1" applyFill="1" applyBorder="1" applyAlignment="1">
      <alignment horizontal="right" vertical="center"/>
    </xf>
    <xf numFmtId="164" fontId="10" fillId="6" borderId="19" xfId="0" applyNumberFormat="1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3" fontId="10" fillId="4" borderId="23" xfId="0" applyNumberFormat="1" applyFont="1" applyFill="1" applyBorder="1" applyAlignment="1">
      <alignment horizontal="right" vertical="top" wrapText="1"/>
    </xf>
    <xf numFmtId="165" fontId="11" fillId="3" borderId="19" xfId="0" applyNumberFormat="1" applyFont="1" applyFill="1" applyBorder="1" applyAlignment="1">
      <alignment horizontal="right" vertical="center"/>
    </xf>
    <xf numFmtId="0" fontId="10" fillId="4" borderId="4" xfId="0" applyFont="1" applyFill="1" applyBorder="1" applyAlignment="1">
      <alignment horizontal="right" vertical="top" wrapText="1"/>
    </xf>
    <xf numFmtId="0" fontId="10" fillId="4" borderId="24" xfId="0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right" vertical="top" wrapText="1"/>
    </xf>
    <xf numFmtId="0" fontId="5" fillId="0" borderId="0" xfId="2" applyFont="1" applyAlignment="1">
      <alignment vertical="center"/>
    </xf>
    <xf numFmtId="0" fontId="13" fillId="0" borderId="0" xfId="0" applyFont="1" applyAlignment="1">
      <alignment horizontal="center"/>
    </xf>
    <xf numFmtId="0" fontId="15" fillId="0" borderId="2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3" fontId="16" fillId="0" borderId="2" xfId="2" applyNumberFormat="1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3" fontId="15" fillId="0" borderId="24" xfId="2" applyNumberFormat="1" applyFont="1" applyBorder="1" applyAlignment="1">
      <alignment horizontal="center"/>
    </xf>
    <xf numFmtId="0" fontId="16" fillId="7" borderId="27" xfId="2" applyFont="1" applyFill="1" applyBorder="1" applyAlignment="1">
      <alignment horizontal="center"/>
    </xf>
    <xf numFmtId="0" fontId="16" fillId="7" borderId="28" xfId="2" applyFont="1" applyFill="1" applyBorder="1"/>
    <xf numFmtId="3" fontId="16" fillId="7" borderId="29" xfId="2" applyNumberFormat="1" applyFont="1" applyFill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6" fillId="0" borderId="28" xfId="2" applyFont="1" applyBorder="1"/>
    <xf numFmtId="3" fontId="16" fillId="0" borderId="27" xfId="2" applyNumberFormat="1" applyFont="1" applyBorder="1" applyAlignment="1">
      <alignment horizontal="center"/>
    </xf>
    <xf numFmtId="0" fontId="15" fillId="0" borderId="30" xfId="2" applyFont="1" applyBorder="1"/>
    <xf numFmtId="0" fontId="15" fillId="0" borderId="27" xfId="2" quotePrefix="1" applyFont="1" applyBorder="1" applyAlignment="1">
      <alignment horizontal="right"/>
    </xf>
    <xf numFmtId="0" fontId="15" fillId="0" borderId="28" xfId="2" applyFont="1" applyBorder="1"/>
    <xf numFmtId="3" fontId="15" fillId="0" borderId="27" xfId="2" applyNumberFormat="1" applyFont="1" applyBorder="1"/>
    <xf numFmtId="0" fontId="15" fillId="0" borderId="27" xfId="2" quotePrefix="1" applyFont="1" applyBorder="1" applyAlignment="1" applyProtection="1">
      <alignment horizontal="right"/>
      <protection locked="0"/>
    </xf>
    <xf numFmtId="0" fontId="15" fillId="0" borderId="27" xfId="2" applyFont="1" applyBorder="1" applyProtection="1">
      <protection locked="0"/>
    </xf>
    <xf numFmtId="0" fontId="16" fillId="0" borderId="30" xfId="2" applyFont="1" applyBorder="1" applyAlignment="1">
      <alignment horizontal="center"/>
    </xf>
    <xf numFmtId="0" fontId="15" fillId="0" borderId="27" xfId="2" applyFont="1" applyBorder="1"/>
    <xf numFmtId="166" fontId="15" fillId="0" borderId="27" xfId="2" applyNumberFormat="1" applyFont="1" applyBorder="1"/>
    <xf numFmtId="166" fontId="15" fillId="0" borderId="27" xfId="2" applyNumberFormat="1" applyFont="1" applyBorder="1" applyProtection="1">
      <protection locked="0"/>
    </xf>
    <xf numFmtId="166" fontId="15" fillId="0" borderId="27" xfId="2" quotePrefix="1" applyNumberFormat="1" applyFont="1" applyBorder="1" applyAlignment="1">
      <alignment horizontal="right"/>
    </xf>
    <xf numFmtId="166" fontId="15" fillId="0" borderId="27" xfId="2" quotePrefix="1" applyNumberFormat="1" applyFont="1" applyBorder="1" applyAlignment="1" applyProtection="1">
      <alignment horizontal="right"/>
      <protection locked="0"/>
    </xf>
    <xf numFmtId="0" fontId="15" fillId="0" borderId="28" xfId="2" applyFont="1" applyBorder="1" applyProtection="1">
      <protection locked="0"/>
    </xf>
    <xf numFmtId="166" fontId="16" fillId="0" borderId="27" xfId="2" applyNumberFormat="1" applyFont="1" applyBorder="1" applyAlignment="1">
      <alignment horizontal="center"/>
    </xf>
    <xf numFmtId="0" fontId="15" fillId="0" borderId="27" xfId="2" applyFont="1" applyBorder="1" applyAlignment="1" applyProtection="1">
      <alignment wrapText="1"/>
      <protection locked="0"/>
    </xf>
    <xf numFmtId="166" fontId="15" fillId="0" borderId="27" xfId="0" quotePrefix="1" applyNumberFormat="1" applyFont="1" applyBorder="1" applyAlignment="1" applyProtection="1">
      <alignment horizontal="right"/>
      <protection locked="0"/>
    </xf>
    <xf numFmtId="0" fontId="15" fillId="0" borderId="27" xfId="0" applyFont="1" applyBorder="1" applyAlignment="1" applyProtection="1">
      <alignment wrapText="1"/>
      <protection locked="0"/>
    </xf>
    <xf numFmtId="0" fontId="15" fillId="0" borderId="28" xfId="2" applyFont="1" applyBorder="1" applyAlignment="1">
      <alignment wrapText="1"/>
    </xf>
    <xf numFmtId="0" fontId="15" fillId="7" borderId="30" xfId="2" applyFont="1" applyFill="1" applyBorder="1"/>
    <xf numFmtId="0" fontId="16" fillId="7" borderId="28" xfId="2" applyFont="1" applyFill="1" applyBorder="1" applyAlignment="1">
      <alignment horizontal="center" wrapText="1"/>
    </xf>
    <xf numFmtId="3" fontId="16" fillId="7" borderId="27" xfId="2" applyNumberFormat="1" applyFont="1" applyFill="1" applyBorder="1" applyAlignment="1">
      <alignment horizontal="center"/>
    </xf>
    <xf numFmtId="0" fontId="16" fillId="8" borderId="30" xfId="2" quotePrefix="1" applyFont="1" applyFill="1" applyBorder="1" applyAlignment="1">
      <alignment horizontal="left"/>
    </xf>
    <xf numFmtId="0" fontId="16" fillId="8" borderId="27" xfId="2" applyFont="1" applyFill="1" applyBorder="1" applyAlignment="1">
      <alignment horizontal="center"/>
    </xf>
    <xf numFmtId="0" fontId="16" fillId="8" borderId="28" xfId="2" applyFont="1" applyFill="1" applyBorder="1"/>
    <xf numFmtId="3" fontId="16" fillId="8" borderId="28" xfId="2" applyNumberFormat="1" applyFont="1" applyFill="1" applyBorder="1" applyAlignment="1">
      <alignment horizontal="center"/>
    </xf>
    <xf numFmtId="0" fontId="15" fillId="9" borderId="30" xfId="2" applyFont="1" applyFill="1" applyBorder="1" applyAlignment="1">
      <alignment horizontal="center"/>
    </xf>
    <xf numFmtId="0" fontId="15" fillId="9" borderId="27" xfId="2" applyFont="1" applyFill="1" applyBorder="1" applyAlignment="1">
      <alignment horizontal="center"/>
    </xf>
    <xf numFmtId="0" fontId="16" fillId="9" borderId="28" xfId="2" applyFont="1" applyFill="1" applyBorder="1" applyAlignment="1">
      <alignment horizontal="center"/>
    </xf>
    <xf numFmtId="3" fontId="6" fillId="9" borderId="27" xfId="2" applyNumberFormat="1" applyFont="1" applyFill="1" applyBorder="1" applyAlignment="1">
      <alignment horizontal="center"/>
    </xf>
    <xf numFmtId="0" fontId="16" fillId="9" borderId="27" xfId="2" applyFont="1" applyFill="1" applyBorder="1" applyAlignment="1">
      <alignment horizontal="center"/>
    </xf>
    <xf numFmtId="0" fontId="16" fillId="9" borderId="28" xfId="2" applyFont="1" applyFill="1" applyBorder="1" applyAlignment="1">
      <alignment horizontal="left"/>
    </xf>
    <xf numFmtId="3" fontId="6" fillId="9" borderId="27" xfId="2" applyNumberFormat="1" applyFont="1" applyFill="1" applyBorder="1" applyAlignment="1">
      <alignment horizontal="right"/>
    </xf>
    <xf numFmtId="0" fontId="15" fillId="0" borderId="30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7" fillId="0" borderId="28" xfId="2" applyFont="1" applyBorder="1" applyAlignment="1">
      <alignment wrapText="1"/>
    </xf>
    <xf numFmtId="3" fontId="6" fillId="0" borderId="27" xfId="2" applyNumberFormat="1" applyFont="1" applyBorder="1" applyAlignment="1">
      <alignment horizontal="right"/>
    </xf>
    <xf numFmtId="0" fontId="16" fillId="0" borderId="31" xfId="2" applyFont="1" applyBorder="1"/>
    <xf numFmtId="1" fontId="16" fillId="0" borderId="27" xfId="2" applyNumberFormat="1" applyFont="1" applyBorder="1"/>
    <xf numFmtId="3" fontId="6" fillId="0" borderId="27" xfId="2" applyNumberFormat="1" applyFont="1" applyBorder="1" applyAlignment="1">
      <alignment horizontal="center"/>
    </xf>
    <xf numFmtId="0" fontId="16" fillId="0" borderId="32" xfId="2" applyFont="1" applyBorder="1" applyAlignment="1" applyProtection="1">
      <alignment horizontal="center"/>
      <protection locked="0"/>
    </xf>
    <xf numFmtId="0" fontId="16" fillId="0" borderId="32" xfId="2" applyFont="1" applyBorder="1" applyAlignment="1" applyProtection="1">
      <alignment horizontal="left" wrapText="1"/>
      <protection locked="0"/>
    </xf>
    <xf numFmtId="0" fontId="18" fillId="10" borderId="30" xfId="2" quotePrefix="1" applyFont="1" applyFill="1" applyBorder="1" applyAlignment="1">
      <alignment horizontal="right"/>
    </xf>
    <xf numFmtId="0" fontId="18" fillId="10" borderId="27" xfId="2" applyFont="1" applyFill="1" applyBorder="1" applyAlignment="1">
      <alignment horizontal="center"/>
    </xf>
    <xf numFmtId="0" fontId="18" fillId="10" borderId="28" xfId="2" applyFont="1" applyFill="1" applyBorder="1"/>
    <xf numFmtId="3" fontId="17" fillId="10" borderId="28" xfId="2" applyNumberFormat="1" applyFont="1" applyFill="1" applyBorder="1" applyAlignment="1">
      <alignment horizontal="center"/>
    </xf>
    <xf numFmtId="0" fontId="18" fillId="11" borderId="30" xfId="2" quotePrefix="1" applyFont="1" applyFill="1" applyBorder="1" applyAlignment="1">
      <alignment horizontal="right"/>
    </xf>
    <xf numFmtId="0" fontId="18" fillId="11" borderId="27" xfId="2" applyFont="1" applyFill="1" applyBorder="1" applyAlignment="1">
      <alignment horizontal="center"/>
    </xf>
    <xf numFmtId="0" fontId="18" fillId="11" borderId="28" xfId="2" applyFont="1" applyFill="1" applyBorder="1"/>
    <xf numFmtId="3" fontId="17" fillId="11" borderId="28" xfId="2" applyNumberFormat="1" applyFont="1" applyFill="1" applyBorder="1" applyAlignment="1">
      <alignment horizontal="center"/>
    </xf>
    <xf numFmtId="0" fontId="18" fillId="0" borderId="30" xfId="2" quotePrefix="1" applyFont="1" applyBorder="1" applyAlignment="1">
      <alignment horizontal="right"/>
    </xf>
    <xf numFmtId="0" fontId="18" fillId="0" borderId="27" xfId="2" applyFont="1" applyBorder="1" applyAlignment="1">
      <alignment horizontal="center"/>
    </xf>
    <xf numFmtId="0" fontId="16" fillId="0" borderId="28" xfId="2" applyFont="1" applyBorder="1" applyAlignment="1">
      <alignment horizontal="center"/>
    </xf>
    <xf numFmtId="0" fontId="18" fillId="11" borderId="28" xfId="2" applyFont="1" applyFill="1" applyBorder="1" applyAlignment="1">
      <alignment wrapText="1"/>
    </xf>
    <xf numFmtId="0" fontId="16" fillId="8" borderId="30" xfId="2" applyFont="1" applyFill="1" applyBorder="1" applyAlignment="1">
      <alignment horizontal="left"/>
    </xf>
    <xf numFmtId="0" fontId="18" fillId="12" borderId="30" xfId="2" quotePrefix="1" applyFont="1" applyFill="1" applyBorder="1" applyAlignment="1">
      <alignment horizontal="right"/>
    </xf>
    <xf numFmtId="0" fontId="18" fillId="12" borderId="27" xfId="2" applyFont="1" applyFill="1" applyBorder="1" applyAlignment="1">
      <alignment horizontal="center"/>
    </xf>
    <xf numFmtId="0" fontId="18" fillId="12" borderId="28" xfId="2" applyFont="1" applyFill="1" applyBorder="1"/>
    <xf numFmtId="3" fontId="17" fillId="12" borderId="28" xfId="2" applyNumberFormat="1" applyFont="1" applyFill="1" applyBorder="1" applyAlignment="1">
      <alignment horizontal="center"/>
    </xf>
    <xf numFmtId="0" fontId="15" fillId="8" borderId="27" xfId="2" applyFont="1" applyFill="1" applyBorder="1" applyAlignment="1">
      <alignment horizontal="center"/>
    </xf>
    <xf numFmtId="0" fontId="17" fillId="8" borderId="30" xfId="2" quotePrefix="1" applyFont="1" applyFill="1" applyBorder="1" applyAlignment="1">
      <alignment horizontal="left"/>
    </xf>
    <xf numFmtId="0" fontId="17" fillId="8" borderId="27" xfId="2" applyFont="1" applyFill="1" applyBorder="1" applyAlignment="1">
      <alignment horizontal="center"/>
    </xf>
    <xf numFmtId="0" fontId="17" fillId="8" borderId="28" xfId="2" applyFont="1" applyFill="1" applyBorder="1"/>
    <xf numFmtId="0" fontId="18" fillId="10" borderId="28" xfId="2" applyFont="1" applyFill="1" applyBorder="1" applyAlignment="1">
      <alignment wrapText="1"/>
    </xf>
    <xf numFmtId="3" fontId="17" fillId="0" borderId="27" xfId="2" applyNumberFormat="1" applyFont="1" applyBorder="1" applyAlignment="1">
      <alignment horizontal="center"/>
    </xf>
    <xf numFmtId="0" fontId="18" fillId="12" borderId="28" xfId="2" applyFont="1" applyFill="1" applyBorder="1" applyAlignment="1">
      <alignment wrapText="1"/>
    </xf>
    <xf numFmtId="166" fontId="18" fillId="10" borderId="30" xfId="2" quotePrefix="1" applyNumberFormat="1" applyFont="1" applyFill="1" applyBorder="1" applyAlignment="1">
      <alignment horizontal="right"/>
    </xf>
    <xf numFmtId="0" fontId="15" fillId="7" borderId="30" xfId="2" applyFont="1" applyFill="1" applyBorder="1" applyAlignment="1">
      <alignment horizontal="center"/>
    </xf>
    <xf numFmtId="0" fontId="16" fillId="7" borderId="28" xfId="2" applyFont="1" applyFill="1" applyBorder="1" applyAlignment="1">
      <alignment horizontal="left"/>
    </xf>
    <xf numFmtId="0" fontId="16" fillId="7" borderId="28" xfId="2" applyFont="1" applyFill="1" applyBorder="1" applyAlignment="1">
      <alignment horizontal="center"/>
    </xf>
    <xf numFmtId="3" fontId="16" fillId="9" borderId="27" xfId="2" applyNumberFormat="1" applyFont="1" applyFill="1" applyBorder="1" applyAlignment="1">
      <alignment horizontal="right"/>
    </xf>
    <xf numFmtId="3" fontId="16" fillId="9" borderId="27" xfId="2" applyNumberFormat="1" applyFont="1" applyFill="1" applyBorder="1" applyAlignment="1">
      <alignment horizontal="center"/>
    </xf>
    <xf numFmtId="0" fontId="15" fillId="7" borderId="27" xfId="2" applyFont="1" applyFill="1" applyBorder="1" applyAlignment="1">
      <alignment horizontal="center"/>
    </xf>
    <xf numFmtId="3" fontId="16" fillId="7" borderId="27" xfId="2" applyNumberFormat="1" applyFont="1" applyFill="1" applyBorder="1" applyAlignment="1">
      <alignment horizontal="right"/>
    </xf>
    <xf numFmtId="0" fontId="6" fillId="0" borderId="30" xfId="2" applyFont="1" applyBorder="1" applyAlignment="1">
      <alignment horizontal="right"/>
    </xf>
    <xf numFmtId="0" fontId="6" fillId="0" borderId="27" xfId="2" applyFont="1" applyBorder="1" applyAlignment="1">
      <alignment wrapText="1"/>
    </xf>
    <xf numFmtId="3" fontId="15" fillId="0" borderId="27" xfId="2" applyNumberFormat="1" applyFont="1" applyBorder="1" applyAlignment="1">
      <alignment horizontal="right"/>
    </xf>
    <xf numFmtId="0" fontId="15" fillId="0" borderId="33" xfId="2" applyFont="1" applyBorder="1" applyAlignment="1">
      <alignment horizontal="center"/>
    </xf>
    <xf numFmtId="0" fontId="15" fillId="0" borderId="27" xfId="2" applyFont="1" applyBorder="1" applyAlignment="1">
      <alignment horizontal="right"/>
    </xf>
    <xf numFmtId="0" fontId="15" fillId="0" borderId="32" xfId="2" applyFont="1" applyBorder="1" applyAlignment="1">
      <alignment horizontal="right"/>
    </xf>
    <xf numFmtId="0" fontId="15" fillId="7" borderId="33" xfId="2" applyFont="1" applyFill="1" applyBorder="1"/>
    <xf numFmtId="0" fontId="19" fillId="7" borderId="32" xfId="2" applyFont="1" applyFill="1" applyBorder="1" applyAlignment="1">
      <alignment horizontal="left"/>
    </xf>
    <xf numFmtId="0" fontId="20" fillId="7" borderId="31" xfId="2" applyFont="1" applyFill="1" applyBorder="1" applyAlignment="1">
      <alignment horizontal="center"/>
    </xf>
    <xf numFmtId="3" fontId="20" fillId="7" borderId="32" xfId="2" applyNumberFormat="1" applyFont="1" applyFill="1" applyBorder="1" applyAlignment="1">
      <alignment horizontal="right"/>
    </xf>
    <xf numFmtId="0" fontId="15" fillId="7" borderId="2" xfId="2" applyFont="1" applyFill="1" applyBorder="1"/>
    <xf numFmtId="0" fontId="15" fillId="7" borderId="2" xfId="2" applyFont="1" applyFill="1" applyBorder="1" applyAlignment="1">
      <alignment horizontal="center"/>
    </xf>
    <xf numFmtId="0" fontId="16" fillId="7" borderId="2" xfId="2" applyFont="1" applyFill="1" applyBorder="1"/>
    <xf numFmtId="3" fontId="16" fillId="7" borderId="2" xfId="2" applyNumberFormat="1" applyFont="1" applyFill="1" applyBorder="1" applyAlignment="1">
      <alignment horizontal="center"/>
    </xf>
    <xf numFmtId="0" fontId="15" fillId="7" borderId="34" xfId="2" applyFont="1" applyFill="1" applyBorder="1"/>
    <xf numFmtId="0" fontId="15" fillId="7" borderId="35" xfId="2" applyFont="1" applyFill="1" applyBorder="1" applyAlignment="1">
      <alignment horizontal="center"/>
    </xf>
    <xf numFmtId="0" fontId="16" fillId="7" borderId="36" xfId="2" applyFont="1" applyFill="1" applyBorder="1"/>
    <xf numFmtId="3" fontId="16" fillId="7" borderId="35" xfId="2" applyNumberFormat="1" applyFont="1" applyFill="1" applyBorder="1" applyAlignment="1">
      <alignment horizontal="center"/>
    </xf>
    <xf numFmtId="0" fontId="4" fillId="0" borderId="0" xfId="2"/>
    <xf numFmtId="0" fontId="15" fillId="0" borderId="0" xfId="2" applyFont="1"/>
    <xf numFmtId="3" fontId="15" fillId="0" borderId="0" xfId="2" applyNumberFormat="1" applyFont="1"/>
    <xf numFmtId="0" fontId="4" fillId="0" borderId="0" xfId="0" applyFont="1"/>
    <xf numFmtId="3" fontId="3" fillId="0" borderId="0" xfId="0" applyNumberFormat="1" applyFont="1"/>
    <xf numFmtId="0" fontId="21" fillId="0" borderId="0" xfId="0" applyFont="1"/>
    <xf numFmtId="0" fontId="0" fillId="0" borderId="2" xfId="0" applyBorder="1"/>
    <xf numFmtId="0" fontId="22" fillId="0" borderId="2" xfId="0" applyFont="1" applyBorder="1" applyAlignment="1">
      <alignment vertical="center" wrapText="1"/>
    </xf>
    <xf numFmtId="49" fontId="23" fillId="13" borderId="2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49" fontId="26" fillId="13" borderId="2" xfId="0" applyNumberFormat="1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4" fillId="0" borderId="24" xfId="0" applyFont="1" applyBorder="1"/>
    <xf numFmtId="3" fontId="0" fillId="0" borderId="24" xfId="0" applyNumberFormat="1" applyBorder="1" applyAlignment="1">
      <alignment vertical="center" wrapText="1"/>
    </xf>
    <xf numFmtId="0" fontId="4" fillId="0" borderId="27" xfId="0" applyFont="1" applyBorder="1"/>
    <xf numFmtId="3" fontId="0" fillId="0" borderId="27" xfId="0" applyNumberFormat="1" applyBorder="1" applyAlignment="1">
      <alignment vertical="center" wrapText="1"/>
    </xf>
    <xf numFmtId="14" fontId="4" fillId="0" borderId="23" xfId="0" applyNumberFormat="1" applyFont="1" applyBorder="1" applyAlignment="1">
      <alignment vertical="center" wrapText="1"/>
    </xf>
    <xf numFmtId="3" fontId="0" fillId="0" borderId="23" xfId="0" applyNumberFormat="1" applyBorder="1" applyAlignment="1">
      <alignment vertical="center" wrapText="1"/>
    </xf>
    <xf numFmtId="14" fontId="4" fillId="0" borderId="24" xfId="0" applyNumberFormat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14" fontId="4" fillId="0" borderId="27" xfId="0" applyNumberFormat="1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49" fontId="27" fillId="14" borderId="24" xfId="0" applyNumberFormat="1" applyFont="1" applyFill="1" applyBorder="1" applyAlignment="1">
      <alignment horizontal="left" vertical="top" wrapText="1"/>
    </xf>
    <xf numFmtId="14" fontId="4" fillId="0" borderId="4" xfId="0" applyNumberFormat="1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28" fillId="14" borderId="24" xfId="0" applyNumberFormat="1" applyFont="1" applyFill="1" applyBorder="1" applyAlignment="1">
      <alignment horizontal="left" vertical="top" wrapText="1"/>
    </xf>
    <xf numFmtId="49" fontId="27" fillId="14" borderId="27" xfId="0" applyNumberFormat="1" applyFont="1" applyFill="1" applyBorder="1" applyAlignment="1">
      <alignment horizontal="left" vertical="top" wrapText="1"/>
    </xf>
    <xf numFmtId="3" fontId="29" fillId="0" borderId="27" xfId="0" applyNumberFormat="1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49" fontId="31" fillId="14" borderId="24" xfId="0" applyNumberFormat="1" applyFont="1" applyFill="1" applyBorder="1" applyAlignment="1">
      <alignment horizontal="left" vertical="top" wrapText="1"/>
    </xf>
    <xf numFmtId="3" fontId="4" fillId="0" borderId="27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3" fontId="0" fillId="15" borderId="24" xfId="0" applyNumberFormat="1" applyFill="1" applyBorder="1" applyAlignment="1">
      <alignment vertical="center" wrapText="1"/>
    </xf>
    <xf numFmtId="3" fontId="0" fillId="15" borderId="27" xfId="0" applyNumberFormat="1" applyFill="1" applyBorder="1" applyAlignment="1">
      <alignment vertical="center" wrapText="1"/>
    </xf>
    <xf numFmtId="3" fontId="29" fillId="15" borderId="27" xfId="0" applyNumberFormat="1" applyFont="1" applyFill="1" applyBorder="1" applyAlignment="1">
      <alignment vertical="center" wrapText="1"/>
    </xf>
    <xf numFmtId="3" fontId="0" fillId="15" borderId="23" xfId="0" applyNumberFormat="1" applyFill="1" applyBorder="1" applyAlignment="1">
      <alignment vertical="center" wrapText="1"/>
    </xf>
    <xf numFmtId="0" fontId="4" fillId="0" borderId="23" xfId="0" applyFont="1" applyBorder="1"/>
    <xf numFmtId="3" fontId="0" fillId="15" borderId="24" xfId="0" applyNumberFormat="1" applyFill="1" applyBorder="1"/>
    <xf numFmtId="3" fontId="0" fillId="15" borderId="27" xfId="0" applyNumberFormat="1" applyFill="1" applyBorder="1"/>
    <xf numFmtId="3" fontId="29" fillId="15" borderId="27" xfId="0" applyNumberFormat="1" applyFont="1" applyFill="1" applyBorder="1"/>
    <xf numFmtId="0" fontId="29" fillId="0" borderId="24" xfId="0" applyFont="1" applyBorder="1"/>
    <xf numFmtId="3" fontId="4" fillId="15" borderId="24" xfId="0" applyNumberFormat="1" applyFont="1" applyFill="1" applyBorder="1"/>
    <xf numFmtId="3" fontId="4" fillId="15" borderId="24" xfId="0" applyNumberFormat="1" applyFont="1" applyFill="1" applyBorder="1" applyAlignment="1">
      <alignment vertical="center" wrapText="1"/>
    </xf>
    <xf numFmtId="0" fontId="29" fillId="0" borderId="27" xfId="0" applyFont="1" applyBorder="1"/>
    <xf numFmtId="3" fontId="4" fillId="15" borderId="27" xfId="0" applyNumberFormat="1" applyFont="1" applyFill="1" applyBorder="1"/>
    <xf numFmtId="3" fontId="4" fillId="15" borderId="27" xfId="0" applyNumberFormat="1" applyFont="1" applyFill="1" applyBorder="1" applyAlignment="1">
      <alignment vertical="center" wrapText="1"/>
    </xf>
    <xf numFmtId="14" fontId="29" fillId="0" borderId="23" xfId="0" applyNumberFormat="1" applyFont="1" applyBorder="1" applyAlignment="1">
      <alignment vertical="center" wrapText="1"/>
    </xf>
    <xf numFmtId="3" fontId="4" fillId="15" borderId="23" xfId="0" applyNumberFormat="1" applyFont="1" applyFill="1" applyBorder="1" applyAlignment="1">
      <alignment vertical="center" wrapText="1"/>
    </xf>
    <xf numFmtId="3" fontId="4" fillId="0" borderId="24" xfId="0" applyNumberFormat="1" applyFont="1" applyBorder="1"/>
    <xf numFmtId="3" fontId="4" fillId="0" borderId="24" xfId="0" applyNumberFormat="1" applyFont="1" applyBorder="1" applyAlignment="1">
      <alignment vertical="center" wrapText="1"/>
    </xf>
    <xf numFmtId="3" fontId="4" fillId="0" borderId="27" xfId="0" applyNumberFormat="1" applyFont="1" applyBorder="1"/>
    <xf numFmtId="3" fontId="4" fillId="0" borderId="23" xfId="0" applyNumberFormat="1" applyFont="1" applyBorder="1" applyAlignment="1">
      <alignment vertical="center" wrapText="1"/>
    </xf>
    <xf numFmtId="3" fontId="29" fillId="0" borderId="24" xfId="0" applyNumberFormat="1" applyFont="1" applyBorder="1"/>
    <xf numFmtId="3" fontId="29" fillId="0" borderId="24" xfId="0" applyNumberFormat="1" applyFont="1" applyBorder="1" applyAlignment="1">
      <alignment vertical="center" wrapText="1"/>
    </xf>
    <xf numFmtId="3" fontId="29" fillId="0" borderId="27" xfId="0" applyNumberFormat="1" applyFont="1" applyBorder="1"/>
    <xf numFmtId="3" fontId="29" fillId="0" borderId="23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22" fillId="0" borderId="24" xfId="0" applyFont="1" applyBorder="1"/>
    <xf numFmtId="3" fontId="22" fillId="0" borderId="24" xfId="0" applyNumberFormat="1" applyFont="1" applyBorder="1"/>
    <xf numFmtId="0" fontId="22" fillId="0" borderId="27" xfId="0" applyFont="1" applyBorder="1"/>
    <xf numFmtId="14" fontId="22" fillId="0" borderId="23" xfId="0" applyNumberFormat="1" applyFont="1" applyBorder="1" applyAlignment="1">
      <alignment vertical="center" wrapText="1"/>
    </xf>
    <xf numFmtId="3" fontId="22" fillId="0" borderId="2" xfId="0" applyNumberFormat="1" applyFont="1" applyBorder="1"/>
    <xf numFmtId="0" fontId="35" fillId="0" borderId="0" xfId="0" applyFont="1" applyAlignment="1">
      <alignment horizontal="left"/>
    </xf>
    <xf numFmtId="0" fontId="30" fillId="0" borderId="2" xfId="0" applyFont="1" applyBorder="1" applyAlignment="1">
      <alignment horizontal="center"/>
    </xf>
    <xf numFmtId="3" fontId="4" fillId="0" borderId="38" xfId="3" applyNumberFormat="1" applyBorder="1" applyAlignment="1" applyProtection="1">
      <alignment horizontal="right" vertical="center"/>
      <protection locked="0"/>
    </xf>
    <xf numFmtId="3" fontId="4" fillId="15" borderId="38" xfId="3" applyNumberFormat="1" applyFill="1" applyBorder="1" applyAlignment="1" applyProtection="1">
      <alignment horizontal="right" vertical="center"/>
      <protection locked="0"/>
    </xf>
    <xf numFmtId="3" fontId="4" fillId="0" borderId="0" xfId="3" applyNumberFormat="1" applyAlignment="1" applyProtection="1">
      <alignment horizontal="right" vertical="center"/>
      <protection locked="0"/>
    </xf>
    <xf numFmtId="0" fontId="0" fillId="0" borderId="4" xfId="0" applyBorder="1" applyAlignment="1">
      <alignment horizontal="center" vertical="center"/>
    </xf>
    <xf numFmtId="3" fontId="4" fillId="0" borderId="4" xfId="3" applyNumberFormat="1" applyBorder="1" applyAlignment="1" applyProtection="1">
      <alignment horizontal="right" vertical="center"/>
      <protection locked="0"/>
    </xf>
    <xf numFmtId="3" fontId="22" fillId="0" borderId="39" xfId="0" applyNumberFormat="1" applyFont="1" applyBorder="1" applyAlignment="1">
      <alignment horizontal="center" vertical="center"/>
    </xf>
    <xf numFmtId="3" fontId="4" fillId="0" borderId="27" xfId="3" applyNumberFormat="1" applyBorder="1" applyAlignment="1" applyProtection="1">
      <alignment horizontal="right" vertical="center"/>
      <protection locked="0"/>
    </xf>
    <xf numFmtId="3" fontId="4" fillId="15" borderId="27" xfId="3" applyNumberFormat="1" applyFill="1" applyBorder="1" applyAlignment="1" applyProtection="1">
      <alignment horizontal="right" vertical="center"/>
      <protection locked="0"/>
    </xf>
    <xf numFmtId="0" fontId="0" fillId="0" borderId="27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" fontId="4" fillId="0" borderId="35" xfId="3" applyNumberFormat="1" applyBorder="1" applyAlignment="1" applyProtection="1">
      <alignment horizontal="right" vertical="center"/>
      <protection locked="0"/>
    </xf>
    <xf numFmtId="3" fontId="22" fillId="0" borderId="35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40" xfId="0" applyFont="1" applyBorder="1"/>
    <xf numFmtId="3" fontId="4" fillId="0" borderId="40" xfId="3" applyNumberFormat="1" applyBorder="1" applyAlignment="1" applyProtection="1">
      <alignment horizontal="right" vertical="center"/>
      <protection locked="0"/>
    </xf>
    <xf numFmtId="3" fontId="4" fillId="0" borderId="30" xfId="3" applyNumberFormat="1" applyBorder="1" applyAlignment="1" applyProtection="1">
      <alignment horizontal="right" vertical="center"/>
      <protection locked="0"/>
    </xf>
    <xf numFmtId="3" fontId="0" fillId="0" borderId="30" xfId="0" applyNumberFormat="1" applyBorder="1" applyAlignment="1">
      <alignment horizontal="right" vertical="center"/>
    </xf>
    <xf numFmtId="3" fontId="4" fillId="0" borderId="41" xfId="3" applyNumberFormat="1" applyBorder="1" applyAlignment="1" applyProtection="1">
      <alignment horizontal="right" vertical="center"/>
      <protection locked="0"/>
    </xf>
    <xf numFmtId="0" fontId="0" fillId="0" borderId="30" xfId="0" applyBorder="1" applyAlignment="1">
      <alignment horizontal="center" vertical="center"/>
    </xf>
    <xf numFmtId="0" fontId="22" fillId="0" borderId="40" xfId="0" applyFont="1" applyBorder="1"/>
    <xf numFmtId="0" fontId="4" fillId="15" borderId="4" xfId="0" applyFont="1" applyFill="1" applyBorder="1" applyAlignment="1">
      <alignment horizontal="center"/>
    </xf>
    <xf numFmtId="0" fontId="4" fillId="15" borderId="23" xfId="0" applyFont="1" applyFill="1" applyBorder="1" applyAlignment="1">
      <alignment horizontal="center"/>
    </xf>
    <xf numFmtId="3" fontId="22" fillId="0" borderId="23" xfId="3" applyNumberFormat="1" applyFont="1" applyBorder="1" applyAlignment="1">
      <alignment horizontal="right" vertical="center" wrapText="1"/>
    </xf>
    <xf numFmtId="0" fontId="4" fillId="0" borderId="2" xfId="0" applyFont="1" applyBorder="1"/>
    <xf numFmtId="3" fontId="22" fillId="0" borderId="2" xfId="3" applyNumberFormat="1" applyFont="1" applyBorder="1" applyAlignment="1">
      <alignment horizontal="right" vertical="center" wrapText="1"/>
    </xf>
    <xf numFmtId="3" fontId="22" fillId="0" borderId="1" xfId="3" applyNumberFormat="1" applyFont="1" applyBorder="1" applyAlignment="1">
      <alignment horizontal="right" vertical="center" wrapText="1"/>
    </xf>
    <xf numFmtId="2" fontId="4" fillId="0" borderId="2" xfId="0" applyNumberFormat="1" applyFont="1" applyBorder="1"/>
    <xf numFmtId="3" fontId="22" fillId="15" borderId="2" xfId="0" applyNumberFormat="1" applyFont="1" applyFill="1" applyBorder="1"/>
    <xf numFmtId="0" fontId="37" fillId="15" borderId="0" xfId="0" applyFont="1" applyFill="1" applyAlignment="1">
      <alignment wrapText="1"/>
    </xf>
    <xf numFmtId="0" fontId="4" fillId="0" borderId="0" xfId="0" applyFont="1" applyAlignment="1">
      <alignment horizontal="right"/>
    </xf>
    <xf numFmtId="0" fontId="30" fillId="0" borderId="0" xfId="0" applyFont="1"/>
    <xf numFmtId="0" fontId="35" fillId="0" borderId="0" xfId="0" applyFont="1" applyAlignment="1">
      <alignment horizontal="center"/>
    </xf>
    <xf numFmtId="0" fontId="25" fillId="0" borderId="0" xfId="0" applyFont="1"/>
    <xf numFmtId="0" fontId="24" fillId="0" borderId="40" xfId="0" applyFont="1" applyBorder="1" applyAlignment="1">
      <alignment vertical="center" wrapText="1"/>
    </xf>
    <xf numFmtId="0" fontId="24" fillId="0" borderId="40" xfId="0" applyFont="1" applyBorder="1" applyAlignment="1">
      <alignment horizontal="center"/>
    </xf>
    <xf numFmtId="0" fontId="24" fillId="0" borderId="4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 wrapText="1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4" fillId="0" borderId="23" xfId="0" applyFont="1" applyBorder="1"/>
    <xf numFmtId="3" fontId="24" fillId="0" borderId="2" xfId="0" applyNumberFormat="1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3" fillId="19" borderId="29" xfId="0" applyFont="1" applyFill="1" applyBorder="1" applyAlignment="1">
      <alignment horizontal="left" vertical="center"/>
    </xf>
    <xf numFmtId="3" fontId="30" fillId="0" borderId="32" xfId="0" applyNumberFormat="1" applyFont="1" applyBorder="1" applyAlignment="1">
      <alignment horizontal="center"/>
    </xf>
    <xf numFmtId="3" fontId="30" fillId="0" borderId="27" xfId="0" applyNumberFormat="1" applyFont="1" applyBorder="1" applyAlignment="1">
      <alignment horizontal="right"/>
    </xf>
    <xf numFmtId="3" fontId="30" fillId="0" borderId="32" xfId="0" applyNumberFormat="1" applyFont="1" applyBorder="1" applyAlignment="1">
      <alignment horizontal="right"/>
    </xf>
    <xf numFmtId="167" fontId="30" fillId="15" borderId="32" xfId="1" applyNumberFormat="1" applyFont="1" applyFill="1" applyBorder="1" applyAlignment="1">
      <alignment horizontal="center"/>
    </xf>
    <xf numFmtId="3" fontId="30" fillId="0" borderId="29" xfId="0" applyNumberFormat="1" applyFont="1" applyBorder="1" applyAlignment="1">
      <alignment horizontal="right"/>
    </xf>
    <xf numFmtId="0" fontId="3" fillId="15" borderId="27" xfId="0" applyFont="1" applyFill="1" applyBorder="1" applyAlignment="1">
      <alignment horizontal="left" vertical="center"/>
    </xf>
    <xf numFmtId="3" fontId="30" fillId="0" borderId="27" xfId="0" applyNumberFormat="1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167" fontId="30" fillId="15" borderId="27" xfId="1" applyNumberFormat="1" applyFont="1" applyFill="1" applyBorder="1" applyAlignment="1">
      <alignment horizontal="center"/>
    </xf>
    <xf numFmtId="0" fontId="30" fillId="0" borderId="27" xfId="0" applyFont="1" applyBorder="1" applyAlignment="1">
      <alignment horizontal="center"/>
    </xf>
    <xf numFmtId="167" fontId="30" fillId="0" borderId="27" xfId="1" applyNumberFormat="1" applyFont="1" applyBorder="1" applyAlignment="1">
      <alignment horizontal="center"/>
    </xf>
    <xf numFmtId="167" fontId="30" fillId="0" borderId="32" xfId="1" applyNumberFormat="1" applyFont="1" applyBorder="1" applyAlignment="1">
      <alignment horizontal="center"/>
    </xf>
    <xf numFmtId="0" fontId="3" fillId="15" borderId="27" xfId="0" applyFont="1" applyFill="1" applyBorder="1" applyAlignment="1">
      <alignment vertical="center"/>
    </xf>
    <xf numFmtId="0" fontId="30" fillId="9" borderId="27" xfId="0" applyFont="1" applyFill="1" applyBorder="1" applyAlignment="1">
      <alignment horizontal="center"/>
    </xf>
    <xf numFmtId="0" fontId="3" fillId="15" borderId="27" xfId="0" applyFont="1" applyFill="1" applyBorder="1" applyAlignment="1">
      <alignment horizontal="left" vertical="top" wrapText="1"/>
    </xf>
    <xf numFmtId="0" fontId="3" fillId="15" borderId="27" xfId="0" applyFont="1" applyFill="1" applyBorder="1" applyAlignment="1">
      <alignment horizontal="left"/>
    </xf>
    <xf numFmtId="0" fontId="3" fillId="19" borderId="27" xfId="0" applyFont="1" applyFill="1" applyBorder="1" applyAlignment="1">
      <alignment horizontal="left"/>
    </xf>
    <xf numFmtId="0" fontId="30" fillId="0" borderId="39" xfId="0" applyFont="1" applyBorder="1" applyAlignment="1">
      <alignment horizontal="center"/>
    </xf>
    <xf numFmtId="167" fontId="30" fillId="0" borderId="39" xfId="1" applyNumberFormat="1" applyFont="1" applyBorder="1" applyAlignment="1">
      <alignment horizontal="center"/>
    </xf>
    <xf numFmtId="167" fontId="30" fillId="0" borderId="4" xfId="1" applyNumberFormat="1" applyFont="1" applyBorder="1" applyAlignment="1">
      <alignment horizontal="center"/>
    </xf>
    <xf numFmtId="0" fontId="3" fillId="20" borderId="27" xfId="0" applyFont="1" applyFill="1" applyBorder="1" applyAlignment="1">
      <alignment horizontal="left" vertical="top" wrapText="1"/>
    </xf>
    <xf numFmtId="0" fontId="25" fillId="0" borderId="35" xfId="0" applyFont="1" applyBorder="1" applyAlignment="1">
      <alignment horizontal="center"/>
    </xf>
    <xf numFmtId="0" fontId="3" fillId="21" borderId="35" xfId="0" applyFont="1" applyFill="1" applyBorder="1" applyAlignment="1">
      <alignment horizontal="left" wrapText="1"/>
    </xf>
    <xf numFmtId="0" fontId="30" fillId="0" borderId="35" xfId="0" applyFont="1" applyBorder="1" applyAlignment="1">
      <alignment horizontal="center"/>
    </xf>
    <xf numFmtId="167" fontId="30" fillId="15" borderId="35" xfId="1" applyNumberFormat="1" applyFont="1" applyFill="1" applyBorder="1" applyAlignment="1">
      <alignment horizontal="center"/>
    </xf>
    <xf numFmtId="3" fontId="30" fillId="0" borderId="35" xfId="0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5" fillId="0" borderId="0" xfId="0" applyFont="1"/>
    <xf numFmtId="0" fontId="37" fillId="0" borderId="0" xfId="0" applyFont="1"/>
    <xf numFmtId="0" fontId="40" fillId="0" borderId="40" xfId="0" applyFont="1" applyBorder="1" applyAlignment="1">
      <alignment vertical="center" wrapText="1"/>
    </xf>
    <xf numFmtId="0" fontId="39" fillId="0" borderId="40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0" xfId="0" applyFont="1"/>
    <xf numFmtId="0" fontId="40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/>
    </xf>
    <xf numFmtId="0" fontId="40" fillId="0" borderId="23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6" fillId="0" borderId="23" xfId="0" applyFont="1" applyBorder="1"/>
    <xf numFmtId="3" fontId="39" fillId="0" borderId="23" xfId="1" applyNumberFormat="1" applyFont="1" applyBorder="1" applyAlignment="1">
      <alignment horizontal="center"/>
    </xf>
    <xf numFmtId="0" fontId="3" fillId="0" borderId="27" xfId="0" applyFont="1" applyBorder="1" applyAlignment="1">
      <alignment horizontal="left" vertical="center"/>
    </xf>
    <xf numFmtId="1" fontId="27" fillId="0" borderId="39" xfId="0" applyNumberFormat="1" applyFont="1" applyBorder="1" applyAlignment="1">
      <alignment horizontal="center"/>
    </xf>
    <xf numFmtId="3" fontId="36" fillId="0" borderId="27" xfId="0" applyNumberFormat="1" applyFont="1" applyBorder="1" applyAlignment="1">
      <alignment horizontal="center"/>
    </xf>
    <xf numFmtId="1" fontId="27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19" borderId="39" xfId="0" applyFont="1" applyFill="1" applyBorder="1" applyAlignment="1">
      <alignment horizontal="left" vertical="center"/>
    </xf>
    <xf numFmtId="3" fontId="36" fillId="0" borderId="39" xfId="0" applyNumberFormat="1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0" fontId="3" fillId="0" borderId="2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/>
    </xf>
    <xf numFmtId="0" fontId="3" fillId="19" borderId="44" xfId="0" applyFont="1" applyFill="1" applyBorder="1" applyAlignment="1">
      <alignment horizontal="left"/>
    </xf>
    <xf numFmtId="1" fontId="27" fillId="0" borderId="35" xfId="0" applyNumberFormat="1" applyFont="1" applyBorder="1" applyAlignment="1">
      <alignment horizontal="center"/>
    </xf>
    <xf numFmtId="3" fontId="36" fillId="0" borderId="35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3" fontId="3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1" fillId="0" borderId="0" xfId="0" applyFont="1"/>
    <xf numFmtId="0" fontId="4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8" fillId="0" borderId="4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0" fillId="15" borderId="2" xfId="0" applyFont="1" applyFill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0" fillId="15" borderId="23" xfId="0" applyFont="1" applyFill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3" fontId="22" fillId="15" borderId="2" xfId="0" applyNumberFormat="1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4" fillId="0" borderId="4" xfId="0" applyFont="1" applyBorder="1"/>
    <xf numFmtId="0" fontId="25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left"/>
    </xf>
    <xf numFmtId="0" fontId="4" fillId="0" borderId="27" xfId="0" applyFont="1" applyBorder="1" applyAlignment="1">
      <alignment horizontal="left" wrapText="1"/>
    </xf>
    <xf numFmtId="0" fontId="4" fillId="0" borderId="27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/>
    </xf>
    <xf numFmtId="3" fontId="4" fillId="15" borderId="27" xfId="0" applyNumberFormat="1" applyFont="1" applyFill="1" applyBorder="1" applyAlignment="1">
      <alignment horizontal="center"/>
    </xf>
    <xf numFmtId="167" fontId="4" fillId="0" borderId="27" xfId="1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/>
    </xf>
    <xf numFmtId="3" fontId="4" fillId="15" borderId="23" xfId="0" applyNumberFormat="1" applyFont="1" applyFill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39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29" fillId="0" borderId="27" xfId="0" applyFont="1" applyBorder="1" applyAlignment="1">
      <alignment horizontal="center" wrapText="1"/>
    </xf>
    <xf numFmtId="0" fontId="29" fillId="0" borderId="27" xfId="0" applyFont="1" applyBorder="1" applyAlignment="1">
      <alignment horizontal="right" vertical="center" wrapText="1"/>
    </xf>
    <xf numFmtId="167" fontId="29" fillId="0" borderId="27" xfId="1" applyNumberFormat="1" applyFont="1" applyBorder="1" applyAlignment="1">
      <alignment horizontal="right"/>
    </xf>
    <xf numFmtId="3" fontId="29" fillId="0" borderId="27" xfId="0" applyNumberFormat="1" applyFont="1" applyBorder="1" applyAlignment="1">
      <alignment horizontal="right"/>
    </xf>
    <xf numFmtId="3" fontId="29" fillId="15" borderId="27" xfId="0" applyNumberFormat="1" applyFont="1" applyFill="1" applyBorder="1" applyAlignment="1">
      <alignment horizontal="right"/>
    </xf>
    <xf numFmtId="3" fontId="29" fillId="0" borderId="27" xfId="0" applyNumberFormat="1" applyFont="1" applyBorder="1" applyAlignment="1">
      <alignment horizontal="center"/>
    </xf>
    <xf numFmtId="0" fontId="29" fillId="0" borderId="23" xfId="0" applyFont="1" applyBorder="1" applyAlignment="1">
      <alignment horizontal="center" wrapText="1"/>
    </xf>
    <xf numFmtId="0" fontId="29" fillId="0" borderId="23" xfId="0" applyFont="1" applyBorder="1" applyAlignment="1">
      <alignment horizontal="right" vertical="center" wrapText="1"/>
    </xf>
    <xf numFmtId="3" fontId="29" fillId="0" borderId="35" xfId="0" applyNumberFormat="1" applyFont="1" applyBorder="1" applyAlignment="1">
      <alignment horizontal="center"/>
    </xf>
    <xf numFmtId="3" fontId="29" fillId="0" borderId="23" xfId="0" applyNumberFormat="1" applyFont="1" applyBorder="1" applyAlignment="1">
      <alignment horizontal="center"/>
    </xf>
    <xf numFmtId="3" fontId="29" fillId="15" borderId="23" xfId="0" applyNumberFormat="1" applyFont="1" applyFill="1" applyBorder="1" applyAlignment="1">
      <alignment horizontal="center"/>
    </xf>
    <xf numFmtId="3" fontId="29" fillId="0" borderId="35" xfId="0" applyNumberFormat="1" applyFont="1" applyBorder="1" applyAlignment="1">
      <alignment horizontal="right"/>
    </xf>
    <xf numFmtId="3" fontId="29" fillId="0" borderId="23" xfId="0" applyNumberFormat="1" applyFont="1" applyBorder="1" applyAlignment="1">
      <alignment horizontal="right"/>
    </xf>
    <xf numFmtId="0" fontId="44" fillId="0" borderId="39" xfId="0" applyFont="1" applyBorder="1" applyAlignment="1">
      <alignment horizontal="center"/>
    </xf>
    <xf numFmtId="0" fontId="44" fillId="0" borderId="39" xfId="0" applyFont="1" applyBorder="1" applyAlignment="1">
      <alignment horizontal="right" vertical="center"/>
    </xf>
    <xf numFmtId="0" fontId="29" fillId="0" borderId="27" xfId="0" applyFont="1" applyBorder="1" applyAlignment="1">
      <alignment horizontal="left"/>
    </xf>
    <xf numFmtId="0" fontId="29" fillId="0" borderId="40" xfId="0" applyFont="1" applyBorder="1" applyAlignment="1">
      <alignment horizontal="center"/>
    </xf>
    <xf numFmtId="0" fontId="29" fillId="15" borderId="4" xfId="0" applyFont="1" applyFill="1" applyBorder="1" applyAlignment="1">
      <alignment horizontal="center"/>
    </xf>
    <xf numFmtId="0" fontId="29" fillId="0" borderId="27" xfId="0" applyFont="1" applyBorder="1" applyAlignment="1">
      <alignment horizontal="right"/>
    </xf>
    <xf numFmtId="0" fontId="29" fillId="0" borderId="40" xfId="0" applyFont="1" applyBorder="1" applyAlignment="1">
      <alignment horizontal="right"/>
    </xf>
    <xf numFmtId="167" fontId="29" fillId="0" borderId="27" xfId="1" applyNumberFormat="1" applyFont="1" applyBorder="1" applyAlignment="1">
      <alignment horizontal="left"/>
    </xf>
    <xf numFmtId="167" fontId="29" fillId="0" borderId="27" xfId="1" applyNumberFormat="1" applyFont="1" applyFill="1" applyBorder="1" applyAlignment="1">
      <alignment horizontal="center"/>
    </xf>
    <xf numFmtId="167" fontId="29" fillId="15" borderId="27" xfId="1" applyNumberFormat="1" applyFont="1" applyFill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7" fontId="4" fillId="0" borderId="27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3" fontId="25" fillId="0" borderId="0" xfId="0" applyNumberFormat="1" applyFont="1"/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24" fillId="0" borderId="2" xfId="0" applyFont="1" applyBorder="1"/>
    <xf numFmtId="0" fontId="22" fillId="0" borderId="2" xfId="0" applyFont="1" applyBorder="1" applyAlignment="1">
      <alignment horizontal="center" vertical="center"/>
    </xf>
    <xf numFmtId="0" fontId="45" fillId="0" borderId="39" xfId="0" applyFont="1" applyBorder="1" applyAlignment="1" applyProtection="1">
      <alignment horizontal="left" vertical="top" wrapText="1" readingOrder="1"/>
      <protection locked="0"/>
    </xf>
    <xf numFmtId="0" fontId="0" fillId="0" borderId="27" xfId="0" applyBorder="1" applyAlignment="1">
      <alignment horizontal="center"/>
    </xf>
    <xf numFmtId="3" fontId="30" fillId="0" borderId="39" xfId="0" applyNumberFormat="1" applyFont="1" applyBorder="1" applyAlignment="1">
      <alignment horizontal="center"/>
    </xf>
    <xf numFmtId="0" fontId="45" fillId="0" borderId="27" xfId="0" applyFont="1" applyBorder="1" applyAlignment="1" applyProtection="1">
      <alignment horizontal="left" vertical="top" wrapText="1" readingOrder="1"/>
      <protection locked="0"/>
    </xf>
    <xf numFmtId="1" fontId="0" fillId="0" borderId="27" xfId="0" applyNumberFormat="1" applyBorder="1" applyAlignment="1">
      <alignment horizontal="center"/>
    </xf>
    <xf numFmtId="167" fontId="0" fillId="0" borderId="0" xfId="1" applyNumberFormat="1" applyFont="1"/>
    <xf numFmtId="0" fontId="45" fillId="0" borderId="45" xfId="0" applyFont="1" applyBorder="1" applyAlignment="1" applyProtection="1">
      <alignment horizontal="left" vertical="top" wrapText="1" readingOrder="1"/>
      <protection locked="0"/>
    </xf>
    <xf numFmtId="0" fontId="0" fillId="0" borderId="35" xfId="0" applyBorder="1" applyAlignment="1">
      <alignment horizontal="center"/>
    </xf>
    <xf numFmtId="3" fontId="30" fillId="0" borderId="35" xfId="0" applyNumberFormat="1" applyFont="1" applyBorder="1" applyAlignment="1">
      <alignment horizontal="center"/>
    </xf>
    <xf numFmtId="0" fontId="22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24" fillId="0" borderId="40" xfId="0" applyFont="1" applyBorder="1" applyAlignment="1">
      <alignment horizontal="center" wrapText="1"/>
    </xf>
    <xf numFmtId="168" fontId="24" fillId="0" borderId="40" xfId="1" applyNumberFormat="1" applyFont="1" applyBorder="1" applyAlignment="1">
      <alignment horizontal="center" wrapText="1"/>
    </xf>
    <xf numFmtId="168" fontId="24" fillId="0" borderId="4" xfId="1" applyNumberFormat="1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168" fontId="24" fillId="0" borderId="4" xfId="1" applyNumberFormat="1" applyFont="1" applyBorder="1" applyAlignment="1">
      <alignment horizontal="center"/>
    </xf>
    <xf numFmtId="0" fontId="38" fillId="0" borderId="46" xfId="0" applyFont="1" applyBorder="1" applyAlignment="1">
      <alignment horizontal="center" vertical="center" wrapText="1"/>
    </xf>
    <xf numFmtId="168" fontId="24" fillId="0" borderId="23" xfId="1" applyNumberFormat="1" applyFont="1" applyBorder="1" applyAlignment="1">
      <alignment horizontal="center"/>
    </xf>
    <xf numFmtId="0" fontId="35" fillId="0" borderId="23" xfId="0" applyFont="1" applyBorder="1"/>
    <xf numFmtId="0" fontId="35" fillId="0" borderId="25" xfId="0" applyFont="1" applyBorder="1" applyAlignment="1">
      <alignment wrapText="1"/>
    </xf>
    <xf numFmtId="3" fontId="22" fillId="0" borderId="25" xfId="0" applyNumberFormat="1" applyFont="1" applyBorder="1" applyAlignment="1">
      <alignment horizontal="center"/>
    </xf>
    <xf numFmtId="3" fontId="22" fillId="0" borderId="3" xfId="0" applyNumberFormat="1" applyFont="1" applyBorder="1" applyAlignment="1">
      <alignment horizontal="center"/>
    </xf>
    <xf numFmtId="3" fontId="22" fillId="0" borderId="40" xfId="0" applyNumberFormat="1" applyFont="1" applyBorder="1" applyAlignment="1">
      <alignment horizontal="center"/>
    </xf>
    <xf numFmtId="0" fontId="48" fillId="0" borderId="0" xfId="0" applyFont="1"/>
    <xf numFmtId="0" fontId="38" fillId="22" borderId="2" xfId="0" applyFont="1" applyFill="1" applyBorder="1" applyAlignment="1">
      <alignment horizontal="center"/>
    </xf>
    <xf numFmtId="0" fontId="22" fillId="22" borderId="1" xfId="0" applyFont="1" applyFill="1" applyBorder="1" applyAlignment="1">
      <alignment horizontal="left" wrapText="1"/>
    </xf>
    <xf numFmtId="3" fontId="22" fillId="22" borderId="1" xfId="0" applyNumberFormat="1" applyFont="1" applyFill="1" applyBorder="1" applyAlignment="1">
      <alignment horizontal="center"/>
    </xf>
    <xf numFmtId="3" fontId="22" fillId="22" borderId="2" xfId="0" applyNumberFormat="1" applyFont="1" applyFill="1" applyBorder="1" applyAlignment="1">
      <alignment horizontal="center"/>
    </xf>
    <xf numFmtId="168" fontId="22" fillId="22" borderId="2" xfId="1" applyNumberFormat="1" applyFont="1" applyFill="1" applyBorder="1" applyAlignment="1">
      <alignment horizontal="center"/>
    </xf>
    <xf numFmtId="0" fontId="24" fillId="0" borderId="0" xfId="0" applyFont="1"/>
    <xf numFmtId="0" fontId="4" fillId="0" borderId="47" xfId="0" applyFont="1" applyBorder="1" applyAlignment="1">
      <alignment horizontal="right" wrapText="1"/>
    </xf>
    <xf numFmtId="3" fontId="4" fillId="0" borderId="47" xfId="0" applyNumberFormat="1" applyFont="1" applyBorder="1"/>
    <xf numFmtId="3" fontId="4" fillId="0" borderId="47" xfId="0" applyNumberFormat="1" applyFont="1" applyBorder="1" applyAlignment="1">
      <alignment horizontal="right"/>
    </xf>
    <xf numFmtId="168" fontId="4" fillId="0" borderId="47" xfId="1" applyNumberFormat="1" applyFont="1" applyBorder="1" applyAlignment="1"/>
    <xf numFmtId="3" fontId="4" fillId="0" borderId="39" xfId="0" applyNumberFormat="1" applyFont="1" applyBorder="1" applyAlignment="1">
      <alignment horizontal="right"/>
    </xf>
    <xf numFmtId="0" fontId="4" fillId="0" borderId="30" xfId="0" applyFont="1" applyBorder="1" applyAlignment="1">
      <alignment horizontal="right" wrapText="1"/>
    </xf>
    <xf numFmtId="3" fontId="4" fillId="0" borderId="30" xfId="0" applyNumberFormat="1" applyFont="1" applyBorder="1"/>
    <xf numFmtId="3" fontId="4" fillId="0" borderId="30" xfId="0" applyNumberFormat="1" applyFont="1" applyBorder="1" applyAlignment="1">
      <alignment horizontal="right"/>
    </xf>
    <xf numFmtId="3" fontId="4" fillId="0" borderId="27" xfId="0" applyNumberFormat="1" applyFont="1" applyBorder="1" applyAlignment="1">
      <alignment horizontal="right"/>
    </xf>
    <xf numFmtId="0" fontId="4" fillId="0" borderId="35" xfId="0" applyFont="1" applyBorder="1" applyAlignment="1">
      <alignment horizontal="right" wrapText="1"/>
    </xf>
    <xf numFmtId="3" fontId="4" fillId="0" borderId="33" xfId="0" applyNumberFormat="1" applyFont="1" applyBorder="1" applyAlignment="1">
      <alignment horizontal="right"/>
    </xf>
    <xf numFmtId="168" fontId="4" fillId="0" borderId="3" xfId="1" applyNumberFormat="1" applyFont="1" applyBorder="1" applyAlignment="1"/>
    <xf numFmtId="3" fontId="4" fillId="0" borderId="32" xfId="0" applyNumberFormat="1" applyFont="1" applyBorder="1" applyAlignment="1">
      <alignment horizontal="right"/>
    </xf>
    <xf numFmtId="168" fontId="4" fillId="0" borderId="47" xfId="1" applyNumberFormat="1" applyFont="1" applyBorder="1" applyAlignment="1">
      <alignment horizontal="right"/>
    </xf>
    <xf numFmtId="168" fontId="4" fillId="0" borderId="3" xfId="1" applyNumberFormat="1" applyFont="1" applyBorder="1" applyAlignment="1">
      <alignment horizontal="right"/>
    </xf>
    <xf numFmtId="0" fontId="22" fillId="22" borderId="2" xfId="0" applyFont="1" applyFill="1" applyBorder="1" applyAlignment="1">
      <alignment horizontal="left" wrapText="1"/>
    </xf>
    <xf numFmtId="0" fontId="4" fillId="0" borderId="33" xfId="0" applyFont="1" applyBorder="1" applyAlignment="1">
      <alignment horizontal="right" wrapText="1"/>
    </xf>
    <xf numFmtId="3" fontId="4" fillId="0" borderId="34" xfId="0" applyNumberFormat="1" applyFont="1" applyBorder="1" applyAlignment="1">
      <alignment horizontal="right"/>
    </xf>
    <xf numFmtId="3" fontId="4" fillId="0" borderId="35" xfId="0" applyNumberFormat="1" applyFont="1" applyBorder="1" applyAlignment="1">
      <alignment horizontal="right"/>
    </xf>
    <xf numFmtId="3" fontId="22" fillId="22" borderId="25" xfId="0" applyNumberFormat="1" applyFont="1" applyFill="1" applyBorder="1" applyAlignment="1">
      <alignment horizontal="center"/>
    </xf>
    <xf numFmtId="3" fontId="22" fillId="22" borderId="23" xfId="0" applyNumberFormat="1" applyFont="1" applyFill="1" applyBorder="1" applyAlignment="1">
      <alignment horizontal="center"/>
    </xf>
    <xf numFmtId="0" fontId="4" fillId="0" borderId="34" xfId="0" applyFont="1" applyBorder="1" applyAlignment="1">
      <alignment horizontal="right" wrapText="1"/>
    </xf>
    <xf numFmtId="168" fontId="4" fillId="0" borderId="35" xfId="1" applyNumberFormat="1" applyFont="1" applyBorder="1" applyAlignment="1"/>
    <xf numFmtId="169" fontId="11" fillId="3" borderId="19" xfId="0" applyNumberFormat="1" applyFont="1" applyFill="1" applyBorder="1" applyAlignment="1">
      <alignment horizontal="right" vertical="center"/>
    </xf>
    <xf numFmtId="169" fontId="10" fillId="3" borderId="8" xfId="0" applyNumberFormat="1" applyFont="1" applyFill="1" applyBorder="1" applyAlignment="1">
      <alignment horizontal="right" vertical="center"/>
    </xf>
    <xf numFmtId="170" fontId="11" fillId="3" borderId="12" xfId="0" applyNumberFormat="1" applyFont="1" applyFill="1" applyBorder="1" applyAlignment="1">
      <alignment horizontal="right" vertical="center"/>
    </xf>
    <xf numFmtId="169" fontId="10" fillId="3" borderId="19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10" fillId="4" borderId="5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center" vertical="top" wrapText="1"/>
    </xf>
    <xf numFmtId="0" fontId="11" fillId="3" borderId="20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4" fillId="0" borderId="0" xfId="2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4" fontId="4" fillId="0" borderId="2" xfId="0" quotePrefix="1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 wrapText="1"/>
    </xf>
    <xf numFmtId="14" fontId="4" fillId="0" borderId="2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2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14" fontId="0" fillId="15" borderId="24" xfId="0" applyNumberForma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wrapText="1"/>
    </xf>
    <xf numFmtId="49" fontId="33" fillId="14" borderId="2" xfId="0" applyNumberFormat="1" applyFont="1" applyFill="1" applyBorder="1" applyAlignment="1">
      <alignment horizontal="center" vertical="center" wrapText="1"/>
    </xf>
    <xf numFmtId="49" fontId="4" fillId="15" borderId="2" xfId="3" applyNumberFormat="1" applyFill="1" applyBorder="1" applyAlignment="1" applyProtection="1">
      <alignment horizontal="left" vertical="center" wrapText="1"/>
      <protection locked="0"/>
    </xf>
    <xf numFmtId="0" fontId="4" fillId="15" borderId="2" xfId="0" applyFont="1" applyFill="1" applyBorder="1" applyAlignment="1">
      <alignment horizontal="left" vertical="center" wrapText="1"/>
    </xf>
    <xf numFmtId="49" fontId="32" fillId="15" borderId="2" xfId="3" applyNumberFormat="1" applyFont="1" applyFill="1" applyBorder="1" applyAlignment="1" applyProtection="1">
      <alignment horizontal="left" vertical="top" wrapText="1"/>
      <protection locked="0"/>
    </xf>
    <xf numFmtId="0" fontId="4" fillId="15" borderId="2" xfId="4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9" fillId="15" borderId="2" xfId="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4" fillId="15" borderId="2" xfId="0" applyFont="1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0" fontId="32" fillId="15" borderId="2" xfId="0" applyFont="1" applyFill="1" applyBorder="1" applyAlignment="1">
      <alignment horizontal="left" vertical="center" wrapText="1"/>
    </xf>
    <xf numFmtId="0" fontId="0" fillId="15" borderId="2" xfId="0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 vertical="center" wrapText="1"/>
    </xf>
    <xf numFmtId="0" fontId="0" fillId="15" borderId="2" xfId="0" applyFill="1" applyBorder="1" applyAlignment="1">
      <alignment horizontal="left" vertical="center" wrapText="1"/>
    </xf>
    <xf numFmtId="0" fontId="30" fillId="15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6" fillId="0" borderId="24" xfId="4" applyFont="1" applyBorder="1" applyAlignment="1">
      <alignment horizontal="center" vertical="center" wrapText="1"/>
    </xf>
    <xf numFmtId="0" fontId="36" fillId="0" borderId="4" xfId="4" applyFont="1" applyBorder="1" applyAlignment="1">
      <alignment horizontal="center" vertical="center" wrapText="1"/>
    </xf>
    <xf numFmtId="0" fontId="36" fillId="0" borderId="23" xfId="4" applyFont="1" applyBorder="1" applyAlignment="1">
      <alignment horizontal="center" vertical="center" wrapText="1"/>
    </xf>
    <xf numFmtId="49" fontId="30" fillId="0" borderId="37" xfId="3" applyNumberFormat="1" applyFont="1" applyBorder="1" applyAlignment="1" applyProtection="1">
      <alignment horizontal="left" vertical="center" wrapText="1"/>
      <protection locked="0"/>
    </xf>
    <xf numFmtId="49" fontId="30" fillId="0" borderId="3" xfId="3" applyNumberFormat="1" applyFont="1" applyBorder="1" applyAlignment="1" applyProtection="1">
      <alignment horizontal="left" vertical="center" wrapText="1"/>
      <protection locked="0"/>
    </xf>
    <xf numFmtId="49" fontId="30" fillId="0" borderId="25" xfId="3" applyNumberFormat="1" applyFont="1" applyBorder="1" applyAlignment="1" applyProtection="1">
      <alignment horizontal="left" vertical="center" wrapText="1"/>
      <protection locked="0"/>
    </xf>
    <xf numFmtId="49" fontId="4" fillId="0" borderId="24" xfId="3" applyNumberFormat="1" applyBorder="1" applyAlignment="1" applyProtection="1">
      <alignment horizontal="center" vertical="center" wrapText="1"/>
      <protection locked="0"/>
    </xf>
    <xf numFmtId="49" fontId="4" fillId="0" borderId="4" xfId="3" applyNumberFormat="1" applyBorder="1" applyAlignment="1" applyProtection="1">
      <alignment horizontal="center" vertical="center" wrapText="1"/>
      <protection locked="0"/>
    </xf>
    <xf numFmtId="49" fontId="4" fillId="0" borderId="23" xfId="3" applyNumberForma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5" fillId="0" borderId="2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36" fillId="0" borderId="40" xfId="4" applyFont="1" applyBorder="1" applyAlignment="1">
      <alignment horizontal="center" vertical="center" wrapText="1"/>
    </xf>
    <xf numFmtId="49" fontId="32" fillId="0" borderId="40" xfId="3" applyNumberFormat="1" applyFont="1" applyBorder="1" applyAlignment="1" applyProtection="1">
      <alignment horizontal="left" vertical="center" wrapText="1"/>
      <protection locked="0"/>
    </xf>
    <xf numFmtId="49" fontId="32" fillId="0" borderId="4" xfId="3" applyNumberFormat="1" applyFont="1" applyBorder="1" applyAlignment="1" applyProtection="1">
      <alignment horizontal="left" vertical="center" wrapText="1"/>
      <protection locked="0"/>
    </xf>
    <xf numFmtId="49" fontId="32" fillId="0" borderId="23" xfId="3" applyNumberFormat="1" applyFont="1" applyBorder="1" applyAlignment="1" applyProtection="1">
      <alignment horizontal="left" vertical="center" wrapText="1"/>
      <protection locked="0"/>
    </xf>
    <xf numFmtId="49" fontId="4" fillId="0" borderId="40" xfId="3" applyNumberFormat="1" applyBorder="1" applyAlignment="1" applyProtection="1">
      <alignment horizontal="center" vertical="center" wrapText="1"/>
      <protection locked="0"/>
    </xf>
    <xf numFmtId="14" fontId="4" fillId="15" borderId="40" xfId="0" applyNumberFormat="1" applyFont="1" applyFill="1" applyBorder="1" applyAlignment="1">
      <alignment horizontal="center" vertical="center" wrapText="1"/>
    </xf>
    <xf numFmtId="14" fontId="4" fillId="15" borderId="4" xfId="0" applyNumberFormat="1" applyFont="1" applyFill="1" applyBorder="1" applyAlignment="1">
      <alignment horizontal="center" vertical="center" wrapText="1"/>
    </xf>
    <xf numFmtId="14" fontId="4" fillId="15" borderId="23" xfId="0" applyNumberFormat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49" fontId="4" fillId="0" borderId="40" xfId="3" applyNumberFormat="1" applyBorder="1" applyAlignment="1" applyProtection="1">
      <alignment horizontal="left" vertical="center" wrapText="1"/>
      <protection locked="0"/>
    </xf>
    <xf numFmtId="49" fontId="4" fillId="0" borderId="4" xfId="3" applyNumberFormat="1" applyBorder="1" applyAlignment="1" applyProtection="1">
      <alignment horizontal="left" vertical="center" wrapText="1"/>
      <protection locked="0"/>
    </xf>
    <xf numFmtId="49" fontId="4" fillId="0" borderId="23" xfId="3" applyNumberForma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49" fontId="4" fillId="15" borderId="40" xfId="3" applyNumberFormat="1" applyFill="1" applyBorder="1" applyAlignment="1" applyProtection="1">
      <alignment horizontal="left" vertical="center" wrapText="1"/>
      <protection locked="0"/>
    </xf>
    <xf numFmtId="49" fontId="4" fillId="15" borderId="4" xfId="3" applyNumberFormat="1" applyFill="1" applyBorder="1" applyAlignment="1" applyProtection="1">
      <alignment horizontal="left" vertical="center" wrapText="1"/>
      <protection locked="0"/>
    </xf>
    <xf numFmtId="49" fontId="4" fillId="15" borderId="23" xfId="3" applyNumberFormat="1" applyFill="1" applyBorder="1" applyAlignment="1" applyProtection="1">
      <alignment horizontal="left" vertical="center" wrapText="1"/>
      <protection locked="0"/>
    </xf>
    <xf numFmtId="0" fontId="4" fillId="15" borderId="40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15" borderId="23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/>
    </xf>
    <xf numFmtId="0" fontId="35" fillId="0" borderId="2" xfId="0" applyFont="1" applyBorder="1" applyAlignment="1">
      <alignment horizontal="left"/>
    </xf>
    <xf numFmtId="0" fontId="36" fillId="0" borderId="1" xfId="0" applyFont="1" applyBorder="1" applyAlignment="1">
      <alignment horizontal="left" wrapText="1"/>
    </xf>
    <xf numFmtId="0" fontId="36" fillId="0" borderId="42" xfId="0" applyFont="1" applyBorder="1" applyAlignment="1">
      <alignment horizontal="left" wrapText="1"/>
    </xf>
    <xf numFmtId="0" fontId="36" fillId="0" borderId="43" xfId="0" applyFont="1" applyBorder="1" applyAlignment="1">
      <alignment horizontal="left" wrapText="1"/>
    </xf>
    <xf numFmtId="0" fontId="37" fillId="18" borderId="2" xfId="0" applyFont="1" applyFill="1" applyBorder="1" applyAlignment="1">
      <alignment wrapText="1"/>
    </xf>
    <xf numFmtId="0" fontId="0" fillId="0" borderId="4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49" fontId="22" fillId="15" borderId="40" xfId="3" applyNumberFormat="1" applyFont="1" applyFill="1" applyBorder="1" applyAlignment="1" applyProtection="1">
      <alignment horizontal="center" vertical="center" wrapText="1"/>
      <protection locked="0"/>
    </xf>
    <xf numFmtId="49" fontId="22" fillId="15" borderId="4" xfId="3" applyNumberFormat="1" applyFont="1" applyFill="1" applyBorder="1" applyAlignment="1" applyProtection="1">
      <alignment horizontal="center" vertical="center" wrapText="1"/>
      <protection locked="0"/>
    </xf>
    <xf numFmtId="49" fontId="22" fillId="15" borderId="23" xfId="3" applyNumberFormat="1" applyFont="1" applyFill="1" applyBorder="1" applyAlignment="1" applyProtection="1">
      <alignment horizontal="center" vertical="center" wrapText="1"/>
      <protection locked="0"/>
    </xf>
    <xf numFmtId="0" fontId="4" fillId="15" borderId="40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/>
    </xf>
    <xf numFmtId="0" fontId="4" fillId="15" borderId="23" xfId="0" applyFont="1" applyFill="1" applyBorder="1" applyAlignment="1">
      <alignment horizontal="center"/>
    </xf>
    <xf numFmtId="0" fontId="4" fillId="0" borderId="4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38" fillId="0" borderId="40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9" fillId="0" borderId="4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24" fillId="0" borderId="4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 2 2 2" xfId="4" xr:uid="{C819DD97-76D8-4D94-A901-B30894A1B1A3}"/>
    <cellStyle name="Normal 4" xfId="2" xr:uid="{F774B061-1DAB-41C1-B348-2353EFE91964}"/>
    <cellStyle name="Normal_Pamatformas" xfId="3" xr:uid="{BCD35DA6-2A01-49CB-896A-B906B8D01F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C632-7D76-4A06-A83C-750A61680055}">
  <dimension ref="A1:E795"/>
  <sheetViews>
    <sheetView tabSelected="1" zoomScaleNormal="100" workbookViewId="0">
      <selection activeCell="A6" sqref="A6:D6"/>
    </sheetView>
  </sheetViews>
  <sheetFormatPr defaultRowHeight="15" outlineLevelRow="1" x14ac:dyDescent="0.25"/>
  <cols>
    <col min="1" max="1" width="1.7109375" customWidth="1"/>
    <col min="2" max="2" width="9.42578125" customWidth="1"/>
    <col min="3" max="3" width="12.5703125" customWidth="1"/>
    <col min="4" max="4" width="56.140625" customWidth="1"/>
    <col min="5" max="5" width="11.7109375" customWidth="1"/>
  </cols>
  <sheetData>
    <row r="1" spans="1:5" x14ac:dyDescent="0.25">
      <c r="E1" s="1" t="s">
        <v>0</v>
      </c>
    </row>
    <row r="2" spans="1:5" x14ac:dyDescent="0.25">
      <c r="E2" s="1" t="s">
        <v>1176</v>
      </c>
    </row>
    <row r="3" spans="1:5" x14ac:dyDescent="0.25">
      <c r="E3" s="1" t="s">
        <v>1177</v>
      </c>
    </row>
    <row r="4" spans="1:5" x14ac:dyDescent="0.25">
      <c r="D4" s="2"/>
      <c r="E4" s="1" t="s">
        <v>279</v>
      </c>
    </row>
    <row r="5" spans="1:5" x14ac:dyDescent="0.25">
      <c r="D5" s="2"/>
    </row>
    <row r="6" spans="1:5" ht="15.75" x14ac:dyDescent="0.25">
      <c r="A6" s="438" t="s">
        <v>1</v>
      </c>
      <c r="B6" s="438"/>
      <c r="C6" s="438"/>
      <c r="D6" s="438"/>
    </row>
    <row r="7" spans="1:5" ht="15.75" x14ac:dyDescent="0.25">
      <c r="A7" s="438" t="s">
        <v>2</v>
      </c>
      <c r="B7" s="438"/>
      <c r="C7" s="438"/>
      <c r="D7" s="438"/>
    </row>
    <row r="8" spans="1:5" x14ac:dyDescent="0.25">
      <c r="A8" s="439" t="s">
        <v>3</v>
      </c>
      <c r="B8" s="439"/>
      <c r="C8" s="439"/>
      <c r="D8" s="439"/>
    </row>
    <row r="9" spans="1:5" x14ac:dyDescent="0.25">
      <c r="A9" s="3"/>
      <c r="B9" s="3"/>
      <c r="C9" s="3"/>
      <c r="D9" s="4"/>
    </row>
    <row r="11" spans="1:5" ht="45" customHeight="1" x14ac:dyDescent="0.25">
      <c r="A11" s="5"/>
      <c r="B11" s="6" t="s">
        <v>4</v>
      </c>
      <c r="C11" s="7" t="s">
        <v>5</v>
      </c>
      <c r="D11" s="7" t="s">
        <v>6</v>
      </c>
      <c r="E11" s="8" t="s">
        <v>7</v>
      </c>
    </row>
    <row r="12" spans="1:5" ht="19.5" customHeight="1" x14ac:dyDescent="0.25">
      <c r="A12" s="5"/>
      <c r="B12" s="9" t="s">
        <v>8</v>
      </c>
      <c r="C12" s="10" t="s">
        <v>9</v>
      </c>
      <c r="D12" s="10" t="s">
        <v>10</v>
      </c>
      <c r="E12" s="11" t="s">
        <v>11</v>
      </c>
    </row>
    <row r="13" spans="1:5" ht="19.5" customHeight="1" x14ac:dyDescent="0.25">
      <c r="A13" s="5"/>
      <c r="B13" s="440" t="s">
        <v>12</v>
      </c>
      <c r="C13" s="440"/>
      <c r="D13" s="440"/>
      <c r="E13" s="12" t="s">
        <v>13</v>
      </c>
    </row>
    <row r="14" spans="1:5" ht="13.5" customHeight="1" x14ac:dyDescent="0.25">
      <c r="A14" s="5"/>
      <c r="B14" s="441" t="s">
        <v>14</v>
      </c>
      <c r="C14" s="442" t="s">
        <v>15</v>
      </c>
      <c r="D14" s="442"/>
      <c r="E14" s="13">
        <v>46941301</v>
      </c>
    </row>
    <row r="15" spans="1:5" ht="26.25" hidden="1" customHeight="1" outlineLevel="1" x14ac:dyDescent="0.25">
      <c r="A15" s="5"/>
      <c r="B15" s="441"/>
      <c r="C15" s="14" t="s">
        <v>16</v>
      </c>
      <c r="D15" s="14" t="s">
        <v>17</v>
      </c>
      <c r="E15" s="15">
        <v>0</v>
      </c>
    </row>
    <row r="16" spans="1:5" ht="25.5" customHeight="1" collapsed="1" x14ac:dyDescent="0.25">
      <c r="A16" s="5"/>
      <c r="B16" s="441"/>
      <c r="C16" s="14" t="s">
        <v>18</v>
      </c>
      <c r="D16" s="14" t="s">
        <v>19</v>
      </c>
      <c r="E16" s="15">
        <v>42543953</v>
      </c>
    </row>
    <row r="17" spans="1:5" ht="13.5" customHeight="1" x14ac:dyDescent="0.25">
      <c r="A17" s="5"/>
      <c r="B17" s="441"/>
      <c r="C17" s="14" t="s">
        <v>20</v>
      </c>
      <c r="D17" s="14" t="s">
        <v>21</v>
      </c>
      <c r="E17" s="15">
        <v>2359573</v>
      </c>
    </row>
    <row r="18" spans="1:5" ht="13.5" customHeight="1" x14ac:dyDescent="0.25">
      <c r="A18" s="5"/>
      <c r="B18" s="441"/>
      <c r="C18" s="14" t="s">
        <v>22</v>
      </c>
      <c r="D18" s="14" t="s">
        <v>23</v>
      </c>
      <c r="E18" s="15">
        <v>173340</v>
      </c>
    </row>
    <row r="19" spans="1:5" ht="13.5" customHeight="1" x14ac:dyDescent="0.25">
      <c r="A19" s="5"/>
      <c r="B19" s="441"/>
      <c r="C19" s="14" t="s">
        <v>24</v>
      </c>
      <c r="D19" s="14" t="s">
        <v>25</v>
      </c>
      <c r="E19" s="15">
        <v>1031088</v>
      </c>
    </row>
    <row r="20" spans="1:5" ht="13.5" customHeight="1" x14ac:dyDescent="0.25">
      <c r="A20" s="5"/>
      <c r="B20" s="441"/>
      <c r="C20" s="14" t="s">
        <v>26</v>
      </c>
      <c r="D20" s="14" t="s">
        <v>27</v>
      </c>
      <c r="E20" s="15">
        <v>44804</v>
      </c>
    </row>
    <row r="21" spans="1:5" ht="14.25" customHeight="1" x14ac:dyDescent="0.25">
      <c r="A21" s="5"/>
      <c r="B21" s="441"/>
      <c r="C21" s="14" t="s">
        <v>28</v>
      </c>
      <c r="D21" s="14" t="s">
        <v>29</v>
      </c>
      <c r="E21" s="15">
        <v>567345</v>
      </c>
    </row>
    <row r="22" spans="1:5" ht="13.5" customHeight="1" x14ac:dyDescent="0.25">
      <c r="A22" s="5"/>
      <c r="B22" s="441"/>
      <c r="C22" s="14" t="s">
        <v>30</v>
      </c>
      <c r="D22" s="14" t="s">
        <v>31</v>
      </c>
      <c r="E22" s="15">
        <v>37518</v>
      </c>
    </row>
    <row r="23" spans="1:5" ht="13.5" customHeight="1" x14ac:dyDescent="0.25">
      <c r="A23" s="5"/>
      <c r="B23" s="441"/>
      <c r="C23" s="14" t="s">
        <v>32</v>
      </c>
      <c r="D23" s="14" t="s">
        <v>33</v>
      </c>
      <c r="E23" s="15">
        <v>36680</v>
      </c>
    </row>
    <row r="24" spans="1:5" ht="13.5" customHeight="1" x14ac:dyDescent="0.25">
      <c r="A24" s="5"/>
      <c r="B24" s="441"/>
      <c r="C24" s="14" t="s">
        <v>34</v>
      </c>
      <c r="D24" s="14" t="s">
        <v>35</v>
      </c>
      <c r="E24" s="15">
        <v>0</v>
      </c>
    </row>
    <row r="25" spans="1:5" ht="13.5" customHeight="1" x14ac:dyDescent="0.25">
      <c r="A25" s="5"/>
      <c r="B25" s="441"/>
      <c r="C25" s="16" t="s">
        <v>36</v>
      </c>
      <c r="D25" s="16" t="s">
        <v>37</v>
      </c>
      <c r="E25" s="17">
        <v>147000</v>
      </c>
    </row>
    <row r="26" spans="1:5" ht="13.5" customHeight="1" x14ac:dyDescent="0.25">
      <c r="A26" s="5"/>
      <c r="B26" s="441" t="s">
        <v>38</v>
      </c>
      <c r="C26" s="442" t="s">
        <v>39</v>
      </c>
      <c r="D26" s="442"/>
      <c r="E26" s="13">
        <v>5256417</v>
      </c>
    </row>
    <row r="27" spans="1:5" ht="13.5" customHeight="1" x14ac:dyDescent="0.25">
      <c r="A27" s="5"/>
      <c r="B27" s="441"/>
      <c r="C27" s="14" t="s">
        <v>40</v>
      </c>
      <c r="D27" s="14" t="s">
        <v>41</v>
      </c>
      <c r="E27" s="15"/>
    </row>
    <row r="28" spans="1:5" ht="14.25" customHeight="1" x14ac:dyDescent="0.25">
      <c r="A28" s="5"/>
      <c r="B28" s="441"/>
      <c r="C28" s="14" t="s">
        <v>42</v>
      </c>
      <c r="D28" s="14" t="s">
        <v>43</v>
      </c>
      <c r="E28" s="15"/>
    </row>
    <row r="29" spans="1:5" ht="13.5" customHeight="1" x14ac:dyDescent="0.25">
      <c r="A29" s="5"/>
      <c r="B29" s="441"/>
      <c r="C29" s="14" t="s">
        <v>44</v>
      </c>
      <c r="D29" s="14" t="s">
        <v>45</v>
      </c>
      <c r="E29" s="15">
        <v>5285</v>
      </c>
    </row>
    <row r="30" spans="1:5" ht="13.5" customHeight="1" x14ac:dyDescent="0.25">
      <c r="A30" s="5"/>
      <c r="B30" s="441"/>
      <c r="C30" s="14" t="s">
        <v>46</v>
      </c>
      <c r="D30" s="14" t="s">
        <v>47</v>
      </c>
      <c r="E30" s="15"/>
    </row>
    <row r="31" spans="1:5" ht="13.5" customHeight="1" x14ac:dyDescent="0.25">
      <c r="A31" s="5"/>
      <c r="B31" s="441"/>
      <c r="C31" s="14" t="s">
        <v>48</v>
      </c>
      <c r="D31" s="14" t="s">
        <v>49</v>
      </c>
      <c r="E31" s="15"/>
    </row>
    <row r="32" spans="1:5" ht="13.5" customHeight="1" x14ac:dyDescent="0.25">
      <c r="A32" s="5"/>
      <c r="B32" s="441"/>
      <c r="C32" s="14" t="s">
        <v>50</v>
      </c>
      <c r="D32" s="14" t="s">
        <v>51</v>
      </c>
      <c r="E32" s="15">
        <v>22500</v>
      </c>
    </row>
    <row r="33" spans="1:5" ht="14.25" customHeight="1" x14ac:dyDescent="0.25">
      <c r="A33" s="5"/>
      <c r="B33" s="441"/>
      <c r="C33" s="14" t="s">
        <v>52</v>
      </c>
      <c r="D33" s="14" t="s">
        <v>53</v>
      </c>
      <c r="E33" s="15">
        <v>28200</v>
      </c>
    </row>
    <row r="34" spans="1:5" ht="13.5" customHeight="1" x14ac:dyDescent="0.25">
      <c r="A34" s="5"/>
      <c r="B34" s="441"/>
      <c r="C34" s="14" t="s">
        <v>54</v>
      </c>
      <c r="D34" s="14" t="s">
        <v>55</v>
      </c>
      <c r="E34" s="15">
        <v>27400</v>
      </c>
    </row>
    <row r="35" spans="1:5" ht="13.5" customHeight="1" x14ac:dyDescent="0.25">
      <c r="A35" s="5"/>
      <c r="B35" s="441"/>
      <c r="C35" s="14" t="s">
        <v>56</v>
      </c>
      <c r="D35" s="14" t="s">
        <v>57</v>
      </c>
      <c r="E35" s="15">
        <v>21170</v>
      </c>
    </row>
    <row r="36" spans="1:5" ht="13.5" customHeight="1" x14ac:dyDescent="0.25">
      <c r="A36" s="5"/>
      <c r="B36" s="441"/>
      <c r="C36" s="14" t="s">
        <v>58</v>
      </c>
      <c r="D36" s="14" t="s">
        <v>59</v>
      </c>
      <c r="E36" s="15">
        <v>85692</v>
      </c>
    </row>
    <row r="37" spans="1:5" ht="13.5" customHeight="1" x14ac:dyDescent="0.25">
      <c r="A37" s="5"/>
      <c r="B37" s="441"/>
      <c r="C37" s="14" t="s">
        <v>60</v>
      </c>
      <c r="D37" s="14" t="s">
        <v>61</v>
      </c>
      <c r="E37" s="15">
        <v>1065200</v>
      </c>
    </row>
    <row r="38" spans="1:5" ht="14.25" customHeight="1" x14ac:dyDescent="0.25">
      <c r="A38" s="5"/>
      <c r="B38" s="441"/>
      <c r="C38" s="14" t="s">
        <v>62</v>
      </c>
      <c r="D38" s="14" t="s">
        <v>63</v>
      </c>
      <c r="E38" s="15">
        <v>302250</v>
      </c>
    </row>
    <row r="39" spans="1:5" ht="13.5" customHeight="1" x14ac:dyDescent="0.25">
      <c r="A39" s="5"/>
      <c r="B39" s="441"/>
      <c r="C39" s="14" t="s">
        <v>64</v>
      </c>
      <c r="D39" s="14" t="s">
        <v>65</v>
      </c>
      <c r="E39" s="15">
        <v>3648720</v>
      </c>
    </row>
    <row r="40" spans="1:5" ht="13.5" customHeight="1" x14ac:dyDescent="0.25">
      <c r="A40" s="5"/>
      <c r="B40" s="441"/>
      <c r="C40" s="16" t="s">
        <v>66</v>
      </c>
      <c r="D40" s="16" t="s">
        <v>67</v>
      </c>
      <c r="E40" s="17">
        <v>50000</v>
      </c>
    </row>
    <row r="41" spans="1:5" ht="13.5" customHeight="1" x14ac:dyDescent="0.25">
      <c r="A41" s="5"/>
      <c r="B41" s="446" t="s">
        <v>68</v>
      </c>
      <c r="C41" s="447" t="s">
        <v>69</v>
      </c>
      <c r="D41" s="447"/>
      <c r="E41" s="18">
        <v>5729428</v>
      </c>
    </row>
    <row r="42" spans="1:5" ht="13.5" customHeight="1" x14ac:dyDescent="0.25">
      <c r="A42" s="5"/>
      <c r="B42" s="446"/>
      <c r="C42" s="14" t="s">
        <v>70</v>
      </c>
      <c r="D42" s="14" t="s">
        <v>71</v>
      </c>
      <c r="E42" s="15">
        <v>5649831</v>
      </c>
    </row>
    <row r="43" spans="1:5" ht="23.25" customHeight="1" x14ac:dyDescent="0.25">
      <c r="A43" s="5"/>
      <c r="B43" s="446"/>
      <c r="C43" s="19" t="s">
        <v>72</v>
      </c>
      <c r="D43" s="19" t="s">
        <v>73</v>
      </c>
      <c r="E43" s="20">
        <v>79597</v>
      </c>
    </row>
    <row r="44" spans="1:5" ht="13.5" customHeight="1" x14ac:dyDescent="0.25">
      <c r="A44" s="5"/>
      <c r="B44" s="441" t="s">
        <v>74</v>
      </c>
      <c r="C44" s="442" t="s">
        <v>75</v>
      </c>
      <c r="D44" s="442"/>
      <c r="E44" s="13">
        <v>321171</v>
      </c>
    </row>
    <row r="45" spans="1:5" ht="13.5" customHeight="1" x14ac:dyDescent="0.25">
      <c r="A45" s="5"/>
      <c r="B45" s="441"/>
      <c r="C45" s="16" t="s">
        <v>76</v>
      </c>
      <c r="D45" s="16" t="s">
        <v>77</v>
      </c>
      <c r="E45" s="17">
        <v>321171</v>
      </c>
    </row>
    <row r="46" spans="1:5" ht="13.5" customHeight="1" x14ac:dyDescent="0.25">
      <c r="A46" s="5"/>
      <c r="B46" s="441" t="s">
        <v>78</v>
      </c>
      <c r="C46" s="442" t="s">
        <v>79</v>
      </c>
      <c r="D46" s="442"/>
      <c r="E46" s="13">
        <v>47284507</v>
      </c>
    </row>
    <row r="47" spans="1:5" ht="27" customHeight="1" x14ac:dyDescent="0.25">
      <c r="A47" s="5"/>
      <c r="B47" s="441"/>
      <c r="C47" s="14" t="s">
        <v>80</v>
      </c>
      <c r="D47" s="14" t="s">
        <v>81</v>
      </c>
      <c r="E47" s="15">
        <v>930742</v>
      </c>
    </row>
    <row r="48" spans="1:5" ht="19.5" customHeight="1" x14ac:dyDescent="0.25">
      <c r="A48" s="5"/>
      <c r="B48" s="441"/>
      <c r="C48" s="14" t="s">
        <v>82</v>
      </c>
      <c r="D48" s="14" t="s">
        <v>83</v>
      </c>
      <c r="E48" s="15">
        <v>27637922</v>
      </c>
    </row>
    <row r="49" spans="1:5" ht="31.5" customHeight="1" x14ac:dyDescent="0.25">
      <c r="A49" s="5"/>
      <c r="B49" s="441"/>
      <c r="C49" s="14" t="s">
        <v>84</v>
      </c>
      <c r="D49" s="14" t="s">
        <v>85</v>
      </c>
      <c r="E49" s="15">
        <v>9898949</v>
      </c>
    </row>
    <row r="50" spans="1:5" ht="24.75" customHeight="1" collapsed="1" x14ac:dyDescent="0.25">
      <c r="A50" s="5"/>
      <c r="B50" s="441"/>
      <c r="C50" s="14" t="s">
        <v>86</v>
      </c>
      <c r="D50" s="14" t="s">
        <v>87</v>
      </c>
      <c r="E50" s="15">
        <v>7854424</v>
      </c>
    </row>
    <row r="51" spans="1:5" ht="13.5" hidden="1" customHeight="1" outlineLevel="1" x14ac:dyDescent="0.25">
      <c r="A51" s="5"/>
      <c r="B51" s="441"/>
      <c r="C51" s="14" t="s">
        <v>88</v>
      </c>
      <c r="D51" s="14" t="s">
        <v>89</v>
      </c>
      <c r="E51" s="15"/>
    </row>
    <row r="52" spans="1:5" ht="13.5" hidden="1" customHeight="1" outlineLevel="1" x14ac:dyDescent="0.25">
      <c r="A52" s="5"/>
      <c r="B52" s="441"/>
      <c r="C52" s="14" t="s">
        <v>90</v>
      </c>
      <c r="D52" s="14" t="s">
        <v>91</v>
      </c>
      <c r="E52" s="15"/>
    </row>
    <row r="53" spans="1:5" ht="14.25" customHeight="1" collapsed="1" x14ac:dyDescent="0.25">
      <c r="A53" s="5"/>
      <c r="B53" s="441"/>
      <c r="C53" s="14" t="s">
        <v>92</v>
      </c>
      <c r="D53" s="14" t="s">
        <v>93</v>
      </c>
      <c r="E53" s="15">
        <v>962470</v>
      </c>
    </row>
    <row r="54" spans="1:5" ht="13.5" hidden="1" customHeight="1" outlineLevel="1" x14ac:dyDescent="0.25">
      <c r="A54" s="5"/>
      <c r="B54" s="441"/>
      <c r="C54" s="16" t="s">
        <v>94</v>
      </c>
      <c r="D54" s="16" t="s">
        <v>95</v>
      </c>
      <c r="E54" s="17"/>
    </row>
    <row r="55" spans="1:5" ht="19.5" customHeight="1" collapsed="1" x14ac:dyDescent="0.25">
      <c r="A55" s="5"/>
      <c r="B55" s="443" t="s">
        <v>96</v>
      </c>
      <c r="C55" s="443"/>
      <c r="D55" s="443"/>
      <c r="E55" s="21" t="s">
        <v>97</v>
      </c>
    </row>
    <row r="56" spans="1:5" ht="13.5" customHeight="1" x14ac:dyDescent="0.25">
      <c r="A56" s="5"/>
      <c r="B56" s="441" t="s">
        <v>98</v>
      </c>
      <c r="C56" s="444" t="s">
        <v>99</v>
      </c>
      <c r="D56" s="444"/>
      <c r="E56" s="22">
        <v>7145113</v>
      </c>
    </row>
    <row r="57" spans="1:5" ht="13.5" customHeight="1" x14ac:dyDescent="0.25">
      <c r="A57" s="5"/>
      <c r="B57" s="441"/>
      <c r="C57" s="445" t="s">
        <v>100</v>
      </c>
      <c r="D57" s="445"/>
      <c r="E57" s="23">
        <v>6900500</v>
      </c>
    </row>
    <row r="58" spans="1:5" ht="14.25" customHeight="1" x14ac:dyDescent="0.25">
      <c r="A58" s="5"/>
      <c r="B58" s="441"/>
      <c r="C58" s="14" t="s">
        <v>101</v>
      </c>
      <c r="D58" s="14" t="s">
        <v>102</v>
      </c>
      <c r="E58" s="24">
        <v>4168627</v>
      </c>
    </row>
    <row r="59" spans="1:5" ht="13.5" customHeight="1" x14ac:dyDescent="0.25">
      <c r="A59" s="5"/>
      <c r="B59" s="441"/>
      <c r="C59" s="14" t="s">
        <v>103</v>
      </c>
      <c r="D59" s="14" t="s">
        <v>104</v>
      </c>
      <c r="E59" s="24">
        <v>1169610</v>
      </c>
    </row>
    <row r="60" spans="1:5" ht="13.5" customHeight="1" x14ac:dyDescent="0.25">
      <c r="A60" s="5"/>
      <c r="B60" s="441"/>
      <c r="C60" s="14" t="s">
        <v>105</v>
      </c>
      <c r="D60" s="14" t="s">
        <v>106</v>
      </c>
      <c r="E60" s="24">
        <v>-144</v>
      </c>
    </row>
    <row r="61" spans="1:5" ht="13.5" customHeight="1" x14ac:dyDescent="0.25">
      <c r="A61" s="5"/>
      <c r="B61" s="441"/>
      <c r="C61" s="14" t="s">
        <v>107</v>
      </c>
      <c r="D61" s="14" t="s">
        <v>108</v>
      </c>
      <c r="E61" s="24">
        <v>1550236</v>
      </c>
    </row>
    <row r="62" spans="1:5" ht="13.5" customHeight="1" x14ac:dyDescent="0.25">
      <c r="A62" s="5"/>
      <c r="B62" s="441"/>
      <c r="C62" s="14" t="s">
        <v>109</v>
      </c>
      <c r="D62" s="14" t="s">
        <v>110</v>
      </c>
      <c r="E62" s="24">
        <v>244613</v>
      </c>
    </row>
    <row r="63" spans="1:5" ht="14.25" customHeight="1" collapsed="1" x14ac:dyDescent="0.25">
      <c r="A63" s="5"/>
      <c r="B63" s="441"/>
      <c r="C63" s="14" t="s">
        <v>111</v>
      </c>
      <c r="D63" s="14" t="s">
        <v>112</v>
      </c>
      <c r="E63" s="24">
        <v>12171</v>
      </c>
    </row>
    <row r="64" spans="1:5" ht="13.5" hidden="1" customHeight="1" outlineLevel="1" x14ac:dyDescent="0.25">
      <c r="A64" s="5"/>
      <c r="B64" s="441"/>
      <c r="C64" s="14" t="s">
        <v>113</v>
      </c>
      <c r="D64" s="14" t="s">
        <v>114</v>
      </c>
      <c r="E64" s="24">
        <v>0</v>
      </c>
    </row>
    <row r="65" spans="1:5" ht="13.5" hidden="1" customHeight="1" outlineLevel="1" x14ac:dyDescent="0.25">
      <c r="A65" s="5"/>
      <c r="B65" s="441"/>
      <c r="C65" s="16" t="s">
        <v>115</v>
      </c>
      <c r="D65" s="16" t="s">
        <v>116</v>
      </c>
      <c r="E65" s="17">
        <v>0</v>
      </c>
    </row>
    <row r="66" spans="1:5" ht="13.5" customHeight="1" collapsed="1" x14ac:dyDescent="0.25">
      <c r="A66" s="5"/>
      <c r="B66" s="441" t="s">
        <v>117</v>
      </c>
      <c r="C66" s="448" t="s">
        <v>118</v>
      </c>
      <c r="D66" s="448"/>
      <c r="E66" s="25">
        <v>5154100</v>
      </c>
    </row>
    <row r="67" spans="1:5" ht="13.5" customHeight="1" x14ac:dyDescent="0.25">
      <c r="A67" s="5"/>
      <c r="B67" s="441"/>
      <c r="C67" s="449" t="s">
        <v>100</v>
      </c>
      <c r="D67" s="449"/>
      <c r="E67" s="26">
        <v>4915352</v>
      </c>
    </row>
    <row r="68" spans="1:5" ht="14.25" customHeight="1" x14ac:dyDescent="0.25">
      <c r="A68" s="5"/>
      <c r="B68" s="441"/>
      <c r="C68" s="14" t="s">
        <v>101</v>
      </c>
      <c r="D68" s="14" t="s">
        <v>102</v>
      </c>
      <c r="E68" s="24">
        <v>3879299</v>
      </c>
    </row>
    <row r="69" spans="1:5" ht="13.5" customHeight="1" collapsed="1" x14ac:dyDescent="0.25">
      <c r="A69" s="5"/>
      <c r="B69" s="441"/>
      <c r="C69" s="14" t="s">
        <v>103</v>
      </c>
      <c r="D69" s="14" t="s">
        <v>104</v>
      </c>
      <c r="E69" s="24">
        <v>1023882</v>
      </c>
    </row>
    <row r="70" spans="1:5" ht="13.5" hidden="1" customHeight="1" outlineLevel="1" x14ac:dyDescent="0.25">
      <c r="A70" s="5"/>
      <c r="B70" s="441"/>
      <c r="C70" s="14" t="s">
        <v>105</v>
      </c>
      <c r="D70" s="14" t="s">
        <v>106</v>
      </c>
      <c r="E70" s="24"/>
    </row>
    <row r="71" spans="1:5" ht="13.5" hidden="1" customHeight="1" outlineLevel="1" x14ac:dyDescent="0.25">
      <c r="A71" s="5"/>
      <c r="B71" s="441"/>
      <c r="C71" s="14" t="s">
        <v>107</v>
      </c>
      <c r="D71" s="14" t="s">
        <v>108</v>
      </c>
      <c r="E71" s="24"/>
    </row>
    <row r="72" spans="1:5" ht="13.5" customHeight="1" collapsed="1" x14ac:dyDescent="0.25">
      <c r="A72" s="5"/>
      <c r="B72" s="441"/>
      <c r="C72" s="14" t="s">
        <v>109</v>
      </c>
      <c r="D72" s="14" t="s">
        <v>110</v>
      </c>
      <c r="E72" s="24">
        <v>238748</v>
      </c>
    </row>
    <row r="73" spans="1:5" ht="14.25" customHeight="1" collapsed="1" x14ac:dyDescent="0.25">
      <c r="A73" s="5"/>
      <c r="B73" s="441"/>
      <c r="C73" s="14" t="s">
        <v>111</v>
      </c>
      <c r="D73" s="14" t="s">
        <v>112</v>
      </c>
      <c r="E73" s="24">
        <v>12171</v>
      </c>
    </row>
    <row r="74" spans="1:5" ht="13.5" hidden="1" customHeight="1" outlineLevel="1" x14ac:dyDescent="0.25">
      <c r="A74" s="5"/>
      <c r="B74" s="441"/>
      <c r="C74" s="14" t="s">
        <v>113</v>
      </c>
      <c r="D74" s="14" t="s">
        <v>114</v>
      </c>
      <c r="E74" s="24"/>
    </row>
    <row r="75" spans="1:5" ht="13.5" hidden="1" customHeight="1" outlineLevel="1" x14ac:dyDescent="0.25">
      <c r="A75" s="5"/>
      <c r="B75" s="441"/>
      <c r="C75" s="16" t="s">
        <v>115</v>
      </c>
      <c r="D75" s="16" t="s">
        <v>116</v>
      </c>
      <c r="E75" s="17"/>
    </row>
    <row r="76" spans="1:5" ht="13.5" customHeight="1" collapsed="1" x14ac:dyDescent="0.25">
      <c r="A76" s="5"/>
      <c r="B76" s="441" t="s">
        <v>119</v>
      </c>
      <c r="C76" s="448" t="s">
        <v>120</v>
      </c>
      <c r="D76" s="448"/>
      <c r="E76" s="25">
        <v>319413</v>
      </c>
    </row>
    <row r="77" spans="1:5" ht="13.5" customHeight="1" x14ac:dyDescent="0.25">
      <c r="A77" s="5"/>
      <c r="B77" s="441"/>
      <c r="C77" s="449" t="s">
        <v>100</v>
      </c>
      <c r="D77" s="449"/>
      <c r="E77" s="26">
        <v>313548</v>
      </c>
    </row>
    <row r="78" spans="1:5" ht="14.25" customHeight="1" x14ac:dyDescent="0.25">
      <c r="A78" s="5"/>
      <c r="B78" s="441"/>
      <c r="C78" s="14" t="s">
        <v>101</v>
      </c>
      <c r="D78" s="14" t="s">
        <v>102</v>
      </c>
      <c r="E78" s="24">
        <v>289328</v>
      </c>
    </row>
    <row r="79" spans="1:5" ht="13.5" customHeight="1" x14ac:dyDescent="0.25">
      <c r="A79" s="5"/>
      <c r="B79" s="441"/>
      <c r="C79" s="14" t="s">
        <v>103</v>
      </c>
      <c r="D79" s="14" t="s">
        <v>104</v>
      </c>
      <c r="E79" s="24">
        <v>24364</v>
      </c>
    </row>
    <row r="80" spans="1:5" ht="13.5" customHeight="1" collapsed="1" x14ac:dyDescent="0.25">
      <c r="A80" s="5"/>
      <c r="B80" s="441"/>
      <c r="C80" s="14" t="s">
        <v>105</v>
      </c>
      <c r="D80" s="14" t="s">
        <v>106</v>
      </c>
      <c r="E80" s="24">
        <v>-144</v>
      </c>
    </row>
    <row r="81" spans="1:5" ht="13.5" hidden="1" customHeight="1" outlineLevel="1" x14ac:dyDescent="0.25">
      <c r="A81" s="5"/>
      <c r="B81" s="441"/>
      <c r="C81" s="14" t="s">
        <v>107</v>
      </c>
      <c r="D81" s="14" t="s">
        <v>108</v>
      </c>
      <c r="E81" s="24"/>
    </row>
    <row r="82" spans="1:5" ht="13.5" customHeight="1" collapsed="1" x14ac:dyDescent="0.25">
      <c r="A82" s="5"/>
      <c r="B82" s="441"/>
      <c r="C82" s="14" t="s">
        <v>109</v>
      </c>
      <c r="D82" s="14" t="s">
        <v>110</v>
      </c>
      <c r="E82" s="24">
        <v>5865</v>
      </c>
    </row>
    <row r="83" spans="1:5" ht="14.25" hidden="1" customHeight="1" outlineLevel="1" x14ac:dyDescent="0.25">
      <c r="A83" s="5"/>
      <c r="B83" s="441"/>
      <c r="C83" s="14" t="s">
        <v>111</v>
      </c>
      <c r="D83" s="14" t="s">
        <v>112</v>
      </c>
      <c r="E83" s="24"/>
    </row>
    <row r="84" spans="1:5" ht="13.5" hidden="1" customHeight="1" outlineLevel="1" x14ac:dyDescent="0.25">
      <c r="A84" s="5"/>
      <c r="B84" s="441"/>
      <c r="C84" s="14" t="s">
        <v>113</v>
      </c>
      <c r="D84" s="14" t="s">
        <v>114</v>
      </c>
      <c r="E84" s="24"/>
    </row>
    <row r="85" spans="1:5" ht="13.5" hidden="1" customHeight="1" outlineLevel="1" x14ac:dyDescent="0.25">
      <c r="A85" s="5"/>
      <c r="B85" s="441"/>
      <c r="C85" s="16" t="s">
        <v>115</v>
      </c>
      <c r="D85" s="16" t="s">
        <v>116</v>
      </c>
      <c r="E85" s="17"/>
    </row>
    <row r="86" spans="1:5" ht="13.5" hidden="1" customHeight="1" outlineLevel="1" x14ac:dyDescent="0.25">
      <c r="A86" s="5"/>
      <c r="B86" s="441" t="s">
        <v>121</v>
      </c>
      <c r="C86" s="448" t="s">
        <v>122</v>
      </c>
      <c r="D86" s="448"/>
      <c r="E86" s="25">
        <v>0</v>
      </c>
    </row>
    <row r="87" spans="1:5" ht="13.5" hidden="1" customHeight="1" outlineLevel="1" x14ac:dyDescent="0.25">
      <c r="A87" s="5"/>
      <c r="B87" s="441"/>
      <c r="C87" s="449" t="s">
        <v>100</v>
      </c>
      <c r="D87" s="449"/>
      <c r="E87" s="26">
        <v>0</v>
      </c>
    </row>
    <row r="88" spans="1:5" ht="14.25" hidden="1" customHeight="1" outlineLevel="1" x14ac:dyDescent="0.25">
      <c r="A88" s="5"/>
      <c r="B88" s="441"/>
      <c r="C88" s="14" t="s">
        <v>101</v>
      </c>
      <c r="D88" s="14" t="s">
        <v>102</v>
      </c>
      <c r="E88" s="24">
        <v>0</v>
      </c>
    </row>
    <row r="89" spans="1:5" ht="13.5" hidden="1" customHeight="1" outlineLevel="1" x14ac:dyDescent="0.25">
      <c r="A89" s="5"/>
      <c r="B89" s="441"/>
      <c r="C89" s="14" t="s">
        <v>103</v>
      </c>
      <c r="D89" s="14" t="s">
        <v>104</v>
      </c>
      <c r="E89" s="24">
        <v>0</v>
      </c>
    </row>
    <row r="90" spans="1:5" ht="13.5" hidden="1" customHeight="1" outlineLevel="1" x14ac:dyDescent="0.25">
      <c r="A90" s="5"/>
      <c r="B90" s="441"/>
      <c r="C90" s="14" t="s">
        <v>105</v>
      </c>
      <c r="D90" s="14" t="s">
        <v>106</v>
      </c>
      <c r="E90" s="24">
        <v>0</v>
      </c>
    </row>
    <row r="91" spans="1:5" ht="13.5" hidden="1" customHeight="1" outlineLevel="1" x14ac:dyDescent="0.25">
      <c r="A91" s="5"/>
      <c r="B91" s="441"/>
      <c r="C91" s="14" t="s">
        <v>107</v>
      </c>
      <c r="D91" s="14" t="s">
        <v>108</v>
      </c>
      <c r="E91" s="24">
        <v>0</v>
      </c>
    </row>
    <row r="92" spans="1:5" ht="13.5" hidden="1" customHeight="1" outlineLevel="1" x14ac:dyDescent="0.25">
      <c r="A92" s="5"/>
      <c r="B92" s="441"/>
      <c r="C92" s="14" t="s">
        <v>109</v>
      </c>
      <c r="D92" s="14" t="s">
        <v>110</v>
      </c>
      <c r="E92" s="24">
        <v>0</v>
      </c>
    </row>
    <row r="93" spans="1:5" ht="14.25" hidden="1" customHeight="1" outlineLevel="1" x14ac:dyDescent="0.25">
      <c r="A93" s="5"/>
      <c r="B93" s="441"/>
      <c r="C93" s="14" t="s">
        <v>111</v>
      </c>
      <c r="D93" s="14" t="s">
        <v>112</v>
      </c>
      <c r="E93" s="24">
        <v>0</v>
      </c>
    </row>
    <row r="94" spans="1:5" ht="13.5" hidden="1" customHeight="1" outlineLevel="1" x14ac:dyDescent="0.25">
      <c r="A94" s="5"/>
      <c r="B94" s="441"/>
      <c r="C94" s="14" t="s">
        <v>113</v>
      </c>
      <c r="D94" s="14" t="s">
        <v>114</v>
      </c>
      <c r="E94" s="24">
        <v>0</v>
      </c>
    </row>
    <row r="95" spans="1:5" ht="13.5" hidden="1" customHeight="1" outlineLevel="1" x14ac:dyDescent="0.25">
      <c r="A95" s="5"/>
      <c r="B95" s="441"/>
      <c r="C95" s="16" t="s">
        <v>115</v>
      </c>
      <c r="D95" s="16" t="s">
        <v>116</v>
      </c>
      <c r="E95" s="17">
        <v>0</v>
      </c>
    </row>
    <row r="96" spans="1:5" ht="13.5" customHeight="1" collapsed="1" x14ac:dyDescent="0.25">
      <c r="A96" s="5"/>
      <c r="B96" s="441" t="s">
        <v>123</v>
      </c>
      <c r="C96" s="450" t="s">
        <v>124</v>
      </c>
      <c r="D96" s="450"/>
      <c r="E96" s="27">
        <v>1621600</v>
      </c>
    </row>
    <row r="97" spans="1:5" ht="13.5" customHeight="1" collapsed="1" x14ac:dyDescent="0.25">
      <c r="A97" s="5"/>
      <c r="B97" s="441"/>
      <c r="C97" s="451" t="s">
        <v>100</v>
      </c>
      <c r="D97" s="451"/>
      <c r="E97" s="28">
        <v>1621600</v>
      </c>
    </row>
    <row r="98" spans="1:5" ht="14.25" hidden="1" customHeight="1" outlineLevel="1" x14ac:dyDescent="0.25">
      <c r="A98" s="5"/>
      <c r="B98" s="441"/>
      <c r="C98" s="14" t="s">
        <v>101</v>
      </c>
      <c r="D98" s="14" t="s">
        <v>102</v>
      </c>
      <c r="E98" s="24"/>
    </row>
    <row r="99" spans="1:5" ht="13.5" customHeight="1" collapsed="1" x14ac:dyDescent="0.25">
      <c r="A99" s="5"/>
      <c r="B99" s="441"/>
      <c r="C99" s="14" t="s">
        <v>103</v>
      </c>
      <c r="D99" s="14" t="s">
        <v>104</v>
      </c>
      <c r="E99" s="24">
        <v>71364</v>
      </c>
    </row>
    <row r="100" spans="1:5" ht="13.5" hidden="1" customHeight="1" outlineLevel="1" x14ac:dyDescent="0.25">
      <c r="A100" s="5"/>
      <c r="B100" s="441"/>
      <c r="C100" s="14" t="s">
        <v>105</v>
      </c>
      <c r="D100" s="14" t="s">
        <v>106</v>
      </c>
      <c r="E100" s="24"/>
    </row>
    <row r="101" spans="1:5" ht="13.5" customHeight="1" collapsed="1" x14ac:dyDescent="0.25">
      <c r="A101" s="5"/>
      <c r="B101" s="441"/>
      <c r="C101" s="14" t="s">
        <v>107</v>
      </c>
      <c r="D101" s="14" t="s">
        <v>108</v>
      </c>
      <c r="E101" s="24">
        <v>1550236</v>
      </c>
    </row>
    <row r="102" spans="1:5" ht="13.5" hidden="1" customHeight="1" outlineLevel="1" x14ac:dyDescent="0.25">
      <c r="A102" s="5"/>
      <c r="B102" s="441"/>
      <c r="C102" s="14" t="s">
        <v>109</v>
      </c>
      <c r="D102" s="14" t="s">
        <v>110</v>
      </c>
      <c r="E102" s="24"/>
    </row>
    <row r="103" spans="1:5" ht="14.25" hidden="1" customHeight="1" outlineLevel="1" x14ac:dyDescent="0.25">
      <c r="A103" s="5"/>
      <c r="B103" s="441"/>
      <c r="C103" s="14" t="s">
        <v>111</v>
      </c>
      <c r="D103" s="14" t="s">
        <v>112</v>
      </c>
      <c r="E103" s="24"/>
    </row>
    <row r="104" spans="1:5" ht="13.5" hidden="1" customHeight="1" outlineLevel="1" x14ac:dyDescent="0.25">
      <c r="A104" s="5"/>
      <c r="B104" s="441"/>
      <c r="C104" s="14" t="s">
        <v>113</v>
      </c>
      <c r="D104" s="14" t="s">
        <v>114</v>
      </c>
      <c r="E104" s="24"/>
    </row>
    <row r="105" spans="1:5" ht="13.5" hidden="1" customHeight="1" outlineLevel="1" x14ac:dyDescent="0.25">
      <c r="A105" s="5"/>
      <c r="B105" s="441"/>
      <c r="C105" s="16" t="s">
        <v>115</v>
      </c>
      <c r="D105" s="16" t="s">
        <v>116</v>
      </c>
      <c r="E105" s="17"/>
    </row>
    <row r="106" spans="1:5" ht="13.5" customHeight="1" collapsed="1" x14ac:dyDescent="0.25">
      <c r="A106" s="5"/>
      <c r="B106" s="441" t="s">
        <v>125</v>
      </c>
      <c r="C106" s="448" t="s">
        <v>126</v>
      </c>
      <c r="D106" s="448"/>
      <c r="E106" s="25">
        <v>50000</v>
      </c>
    </row>
    <row r="107" spans="1:5" ht="13.5" customHeight="1" collapsed="1" x14ac:dyDescent="0.25">
      <c r="A107" s="5"/>
      <c r="B107" s="441"/>
      <c r="C107" s="449" t="s">
        <v>100</v>
      </c>
      <c r="D107" s="449"/>
      <c r="E107" s="26">
        <v>50000</v>
      </c>
    </row>
    <row r="108" spans="1:5" ht="14.25" hidden="1" customHeight="1" outlineLevel="1" x14ac:dyDescent="0.25">
      <c r="A108" s="5"/>
      <c r="B108" s="441"/>
      <c r="C108" s="14" t="s">
        <v>101</v>
      </c>
      <c r="D108" s="14" t="s">
        <v>102</v>
      </c>
      <c r="E108" s="24">
        <v>0</v>
      </c>
    </row>
    <row r="109" spans="1:5" ht="13.5" customHeight="1" collapsed="1" x14ac:dyDescent="0.25">
      <c r="A109" s="5"/>
      <c r="B109" s="441"/>
      <c r="C109" s="14" t="s">
        <v>103</v>
      </c>
      <c r="D109" s="14" t="s">
        <v>104</v>
      </c>
      <c r="E109" s="24">
        <v>50000</v>
      </c>
    </row>
    <row r="110" spans="1:5" ht="13.5" hidden="1" customHeight="1" outlineLevel="1" x14ac:dyDescent="0.25">
      <c r="A110" s="5"/>
      <c r="B110" s="441"/>
      <c r="C110" s="14" t="s">
        <v>105</v>
      </c>
      <c r="D110" s="14" t="s">
        <v>106</v>
      </c>
      <c r="E110" s="24">
        <v>0</v>
      </c>
    </row>
    <row r="111" spans="1:5" ht="13.5" hidden="1" customHeight="1" outlineLevel="1" x14ac:dyDescent="0.25">
      <c r="A111" s="5"/>
      <c r="B111" s="441"/>
      <c r="C111" s="14" t="s">
        <v>107</v>
      </c>
      <c r="D111" s="14" t="s">
        <v>108</v>
      </c>
      <c r="E111" s="24">
        <v>0</v>
      </c>
    </row>
    <row r="112" spans="1:5" ht="13.5" hidden="1" customHeight="1" outlineLevel="1" x14ac:dyDescent="0.25">
      <c r="A112" s="5"/>
      <c r="B112" s="441"/>
      <c r="C112" s="14" t="s">
        <v>109</v>
      </c>
      <c r="D112" s="14" t="s">
        <v>110</v>
      </c>
      <c r="E112" s="24">
        <v>0</v>
      </c>
    </row>
    <row r="113" spans="1:5" ht="14.25" hidden="1" customHeight="1" outlineLevel="1" x14ac:dyDescent="0.25">
      <c r="A113" s="5"/>
      <c r="B113" s="441"/>
      <c r="C113" s="14" t="s">
        <v>111</v>
      </c>
      <c r="D113" s="14" t="s">
        <v>112</v>
      </c>
      <c r="E113" s="24">
        <v>0</v>
      </c>
    </row>
    <row r="114" spans="1:5" ht="13.5" hidden="1" customHeight="1" outlineLevel="1" x14ac:dyDescent="0.25">
      <c r="A114" s="5"/>
      <c r="B114" s="441"/>
      <c r="C114" s="14" t="s">
        <v>113</v>
      </c>
      <c r="D114" s="14" t="s">
        <v>114</v>
      </c>
      <c r="E114" s="24">
        <v>0</v>
      </c>
    </row>
    <row r="115" spans="1:5" ht="13.5" hidden="1" customHeight="1" outlineLevel="1" x14ac:dyDescent="0.25">
      <c r="A115" s="5"/>
      <c r="B115" s="441"/>
      <c r="C115" s="16" t="s">
        <v>115</v>
      </c>
      <c r="D115" s="16" t="s">
        <v>116</v>
      </c>
      <c r="E115" s="17">
        <v>0</v>
      </c>
    </row>
    <row r="116" spans="1:5" ht="13.5" hidden="1" customHeight="1" outlineLevel="1" x14ac:dyDescent="0.25">
      <c r="A116" s="5"/>
      <c r="B116" s="453" t="s">
        <v>127</v>
      </c>
      <c r="C116" s="450" t="s">
        <v>128</v>
      </c>
      <c r="D116" s="450"/>
      <c r="E116" s="27">
        <v>0</v>
      </c>
    </row>
    <row r="117" spans="1:5" ht="13.5" hidden="1" customHeight="1" outlineLevel="1" x14ac:dyDescent="0.25">
      <c r="A117" s="5"/>
      <c r="B117" s="453"/>
      <c r="C117" s="451" t="s">
        <v>100</v>
      </c>
      <c r="D117" s="451"/>
      <c r="E117" s="28">
        <v>0</v>
      </c>
    </row>
    <row r="118" spans="1:5" ht="14.25" hidden="1" customHeight="1" outlineLevel="1" x14ac:dyDescent="0.25">
      <c r="A118" s="5"/>
      <c r="B118" s="453"/>
      <c r="C118" s="14" t="s">
        <v>101</v>
      </c>
      <c r="D118" s="14" t="s">
        <v>102</v>
      </c>
      <c r="E118" s="24"/>
    </row>
    <row r="119" spans="1:5" ht="13.5" hidden="1" customHeight="1" outlineLevel="1" x14ac:dyDescent="0.25">
      <c r="A119" s="5"/>
      <c r="B119" s="453"/>
      <c r="C119" s="14" t="s">
        <v>103</v>
      </c>
      <c r="D119" s="14" t="s">
        <v>104</v>
      </c>
      <c r="E119" s="24"/>
    </row>
    <row r="120" spans="1:5" ht="13.5" hidden="1" customHeight="1" outlineLevel="1" x14ac:dyDescent="0.25">
      <c r="A120" s="5"/>
      <c r="B120" s="453"/>
      <c r="C120" s="14" t="s">
        <v>105</v>
      </c>
      <c r="D120" s="14" t="s">
        <v>106</v>
      </c>
      <c r="E120" s="24"/>
    </row>
    <row r="121" spans="1:5" ht="13.5" hidden="1" customHeight="1" outlineLevel="1" x14ac:dyDescent="0.25">
      <c r="A121" s="5"/>
      <c r="B121" s="453"/>
      <c r="C121" s="14" t="s">
        <v>107</v>
      </c>
      <c r="D121" s="14" t="s">
        <v>108</v>
      </c>
      <c r="E121" s="24"/>
    </row>
    <row r="122" spans="1:5" ht="13.5" hidden="1" customHeight="1" outlineLevel="1" x14ac:dyDescent="0.25">
      <c r="A122" s="5"/>
      <c r="B122" s="453"/>
      <c r="C122" s="14" t="s">
        <v>109</v>
      </c>
      <c r="D122" s="14" t="s">
        <v>110</v>
      </c>
      <c r="E122" s="24"/>
    </row>
    <row r="123" spans="1:5" ht="14.25" hidden="1" customHeight="1" outlineLevel="1" x14ac:dyDescent="0.25">
      <c r="A123" s="5"/>
      <c r="B123" s="453"/>
      <c r="C123" s="14" t="s">
        <v>111</v>
      </c>
      <c r="D123" s="14" t="s">
        <v>112</v>
      </c>
      <c r="E123" s="24"/>
    </row>
    <row r="124" spans="1:5" ht="13.5" hidden="1" customHeight="1" outlineLevel="1" x14ac:dyDescent="0.25">
      <c r="A124" s="5"/>
      <c r="B124" s="453"/>
      <c r="C124" s="14" t="s">
        <v>113</v>
      </c>
      <c r="D124" s="14" t="s">
        <v>114</v>
      </c>
      <c r="E124" s="24"/>
    </row>
    <row r="125" spans="1:5" ht="13.5" hidden="1" customHeight="1" outlineLevel="1" x14ac:dyDescent="0.25">
      <c r="A125" s="5"/>
      <c r="B125" s="453"/>
      <c r="C125" s="14" t="s">
        <v>115</v>
      </c>
      <c r="D125" s="14" t="s">
        <v>116</v>
      </c>
      <c r="E125" s="24"/>
    </row>
    <row r="126" spans="1:5" ht="13.5" customHeight="1" collapsed="1" x14ac:dyDescent="0.25">
      <c r="A126" s="5"/>
      <c r="B126" s="452" t="s">
        <v>129</v>
      </c>
      <c r="C126" s="451" t="s">
        <v>130</v>
      </c>
      <c r="D126" s="451"/>
      <c r="E126" s="28">
        <v>50000</v>
      </c>
    </row>
    <row r="127" spans="1:5" ht="13.5" customHeight="1" collapsed="1" x14ac:dyDescent="0.25">
      <c r="A127" s="5"/>
      <c r="B127" s="452"/>
      <c r="C127" s="451" t="s">
        <v>100</v>
      </c>
      <c r="D127" s="451"/>
      <c r="E127" s="28">
        <v>50000</v>
      </c>
    </row>
    <row r="128" spans="1:5" ht="14.25" hidden="1" customHeight="1" outlineLevel="1" x14ac:dyDescent="0.25">
      <c r="A128" s="5"/>
      <c r="B128" s="452"/>
      <c r="C128" s="14" t="s">
        <v>101</v>
      </c>
      <c r="D128" s="14" t="s">
        <v>102</v>
      </c>
      <c r="E128" s="24"/>
    </row>
    <row r="129" spans="1:5" ht="13.5" customHeight="1" collapsed="1" x14ac:dyDescent="0.25">
      <c r="A129" s="5"/>
      <c r="B129" s="452"/>
      <c r="C129" s="14" t="s">
        <v>103</v>
      </c>
      <c r="D129" s="14" t="s">
        <v>104</v>
      </c>
      <c r="E129" s="24">
        <v>50000</v>
      </c>
    </row>
    <row r="130" spans="1:5" ht="13.5" hidden="1" customHeight="1" outlineLevel="1" x14ac:dyDescent="0.25">
      <c r="A130" s="5"/>
      <c r="B130" s="452"/>
      <c r="C130" s="14" t="s">
        <v>105</v>
      </c>
      <c r="D130" s="14" t="s">
        <v>106</v>
      </c>
      <c r="E130" s="24"/>
    </row>
    <row r="131" spans="1:5" ht="13.5" hidden="1" customHeight="1" outlineLevel="1" x14ac:dyDescent="0.25">
      <c r="A131" s="5"/>
      <c r="B131" s="452"/>
      <c r="C131" s="14" t="s">
        <v>107</v>
      </c>
      <c r="D131" s="14" t="s">
        <v>108</v>
      </c>
      <c r="E131" s="24"/>
    </row>
    <row r="132" spans="1:5" ht="13.5" hidden="1" customHeight="1" outlineLevel="1" x14ac:dyDescent="0.25">
      <c r="A132" s="5"/>
      <c r="B132" s="452"/>
      <c r="C132" s="14" t="s">
        <v>109</v>
      </c>
      <c r="D132" s="14" t="s">
        <v>110</v>
      </c>
      <c r="E132" s="24"/>
    </row>
    <row r="133" spans="1:5" ht="14.25" hidden="1" customHeight="1" outlineLevel="1" x14ac:dyDescent="0.25">
      <c r="A133" s="5"/>
      <c r="B133" s="452"/>
      <c r="C133" s="14" t="s">
        <v>111</v>
      </c>
      <c r="D133" s="14" t="s">
        <v>112</v>
      </c>
      <c r="E133" s="24"/>
    </row>
    <row r="134" spans="1:5" ht="13.5" hidden="1" customHeight="1" outlineLevel="1" x14ac:dyDescent="0.25">
      <c r="A134" s="5"/>
      <c r="B134" s="452"/>
      <c r="C134" s="14" t="s">
        <v>113</v>
      </c>
      <c r="D134" s="14" t="s">
        <v>114</v>
      </c>
      <c r="E134" s="24"/>
    </row>
    <row r="135" spans="1:5" ht="13.5" hidden="1" customHeight="1" outlineLevel="1" x14ac:dyDescent="0.25">
      <c r="A135" s="5"/>
      <c r="B135" s="452"/>
      <c r="C135" s="16" t="s">
        <v>115</v>
      </c>
      <c r="D135" s="16" t="s">
        <v>116</v>
      </c>
      <c r="E135" s="17"/>
    </row>
    <row r="136" spans="1:5" ht="13.5" customHeight="1" collapsed="1" x14ac:dyDescent="0.25">
      <c r="A136" s="5"/>
      <c r="B136" s="441" t="s">
        <v>131</v>
      </c>
      <c r="C136" s="444" t="s">
        <v>132</v>
      </c>
      <c r="D136" s="444"/>
      <c r="E136" s="22">
        <v>1194634</v>
      </c>
    </row>
    <row r="137" spans="1:5" ht="13.5" customHeight="1" x14ac:dyDescent="0.25">
      <c r="A137" s="5"/>
      <c r="B137" s="441"/>
      <c r="C137" s="445" t="s">
        <v>100</v>
      </c>
      <c r="D137" s="445"/>
      <c r="E137" s="23">
        <v>1096347</v>
      </c>
    </row>
    <row r="138" spans="1:5" ht="14.25" customHeight="1" x14ac:dyDescent="0.25">
      <c r="A138" s="5"/>
      <c r="B138" s="441"/>
      <c r="C138" s="14" t="s">
        <v>101</v>
      </c>
      <c r="D138" s="14" t="s">
        <v>102</v>
      </c>
      <c r="E138" s="24">
        <v>835183</v>
      </c>
    </row>
    <row r="139" spans="1:5" ht="13.5" customHeight="1" x14ac:dyDescent="0.25">
      <c r="A139" s="5"/>
      <c r="B139" s="441"/>
      <c r="C139" s="14" t="s">
        <v>103</v>
      </c>
      <c r="D139" s="14" t="s">
        <v>104</v>
      </c>
      <c r="E139" s="24">
        <v>260164</v>
      </c>
    </row>
    <row r="140" spans="1:5" ht="13.5" customHeight="1" collapsed="1" x14ac:dyDescent="0.25">
      <c r="A140" s="5"/>
      <c r="B140" s="441"/>
      <c r="C140" s="14" t="s">
        <v>105</v>
      </c>
      <c r="D140" s="14" t="s">
        <v>106</v>
      </c>
      <c r="E140" s="24">
        <v>1000</v>
      </c>
    </row>
    <row r="141" spans="1:5" ht="13.5" hidden="1" customHeight="1" outlineLevel="1" x14ac:dyDescent="0.25">
      <c r="A141" s="5"/>
      <c r="B141" s="441"/>
      <c r="C141" s="14" t="s">
        <v>107</v>
      </c>
      <c r="D141" s="14" t="s">
        <v>108</v>
      </c>
      <c r="E141" s="24">
        <v>0</v>
      </c>
    </row>
    <row r="142" spans="1:5" ht="13.5" customHeight="1" collapsed="1" x14ac:dyDescent="0.25">
      <c r="A142" s="5"/>
      <c r="B142" s="441"/>
      <c r="C142" s="14" t="s">
        <v>109</v>
      </c>
      <c r="D142" s="14" t="s">
        <v>110</v>
      </c>
      <c r="E142" s="24">
        <v>98287</v>
      </c>
    </row>
    <row r="143" spans="1:5" ht="14.25" hidden="1" customHeight="1" outlineLevel="1" x14ac:dyDescent="0.25">
      <c r="A143" s="5"/>
      <c r="B143" s="441"/>
      <c r="C143" s="14" t="s">
        <v>111</v>
      </c>
      <c r="D143" s="14" t="s">
        <v>112</v>
      </c>
      <c r="E143" s="24">
        <v>0</v>
      </c>
    </row>
    <row r="144" spans="1:5" ht="13.5" hidden="1" customHeight="1" outlineLevel="1" x14ac:dyDescent="0.25">
      <c r="A144" s="5"/>
      <c r="B144" s="441"/>
      <c r="C144" s="14" t="s">
        <v>113</v>
      </c>
      <c r="D144" s="14" t="s">
        <v>114</v>
      </c>
      <c r="E144" s="24">
        <v>0</v>
      </c>
    </row>
    <row r="145" spans="1:5" ht="13.5" hidden="1" customHeight="1" outlineLevel="1" x14ac:dyDescent="0.25">
      <c r="A145" s="5"/>
      <c r="B145" s="441"/>
      <c r="C145" s="16" t="s">
        <v>115</v>
      </c>
      <c r="D145" s="16" t="s">
        <v>116</v>
      </c>
      <c r="E145" s="17">
        <v>0</v>
      </c>
    </row>
    <row r="146" spans="1:5" ht="13.5" customHeight="1" collapsed="1" x14ac:dyDescent="0.25">
      <c r="A146" s="5"/>
      <c r="B146" s="441" t="s">
        <v>133</v>
      </c>
      <c r="C146" s="448" t="s">
        <v>134</v>
      </c>
      <c r="D146" s="448"/>
      <c r="E146" s="25">
        <v>1101247</v>
      </c>
    </row>
    <row r="147" spans="1:5" ht="13.5" customHeight="1" x14ac:dyDescent="0.25">
      <c r="A147" s="5"/>
      <c r="B147" s="441"/>
      <c r="C147" s="449" t="s">
        <v>100</v>
      </c>
      <c r="D147" s="449"/>
      <c r="E147" s="26">
        <v>1011426</v>
      </c>
    </row>
    <row r="148" spans="1:5" ht="14.25" customHeight="1" x14ac:dyDescent="0.25">
      <c r="A148" s="5"/>
      <c r="B148" s="441"/>
      <c r="C148" s="14" t="s">
        <v>101</v>
      </c>
      <c r="D148" s="14" t="s">
        <v>102</v>
      </c>
      <c r="E148" s="24">
        <v>810085</v>
      </c>
    </row>
    <row r="149" spans="1:5" ht="13.5" customHeight="1" collapsed="1" x14ac:dyDescent="0.25">
      <c r="A149" s="5"/>
      <c r="B149" s="441"/>
      <c r="C149" s="14" t="s">
        <v>103</v>
      </c>
      <c r="D149" s="14" t="s">
        <v>104</v>
      </c>
      <c r="E149" s="24">
        <v>201341</v>
      </c>
    </row>
    <row r="150" spans="1:5" ht="13.5" hidden="1" customHeight="1" outlineLevel="1" x14ac:dyDescent="0.25">
      <c r="A150" s="5"/>
      <c r="B150" s="441"/>
      <c r="C150" s="14" t="s">
        <v>107</v>
      </c>
      <c r="D150" s="14" t="s">
        <v>108</v>
      </c>
      <c r="E150" s="24"/>
    </row>
    <row r="151" spans="1:5" ht="13.5" customHeight="1" collapsed="1" x14ac:dyDescent="0.25">
      <c r="A151" s="5"/>
      <c r="B151" s="441"/>
      <c r="C151" s="14" t="s">
        <v>109</v>
      </c>
      <c r="D151" s="14" t="s">
        <v>110</v>
      </c>
      <c r="E151" s="24">
        <v>89821</v>
      </c>
    </row>
    <row r="152" spans="1:5" ht="13.5" hidden="1" customHeight="1" outlineLevel="1" x14ac:dyDescent="0.25">
      <c r="A152" s="5"/>
      <c r="B152" s="441"/>
      <c r="C152" s="14" t="s">
        <v>111</v>
      </c>
      <c r="D152" s="14" t="s">
        <v>112</v>
      </c>
      <c r="E152" s="24"/>
    </row>
    <row r="153" spans="1:5" ht="14.25" hidden="1" customHeight="1" outlineLevel="1" x14ac:dyDescent="0.25">
      <c r="A153" s="5"/>
      <c r="B153" s="441"/>
      <c r="C153" s="14" t="s">
        <v>113</v>
      </c>
      <c r="D153" s="14" t="s">
        <v>114</v>
      </c>
      <c r="E153" s="24"/>
    </row>
    <row r="154" spans="1:5" ht="13.5" hidden="1" customHeight="1" outlineLevel="1" x14ac:dyDescent="0.25">
      <c r="A154" s="5"/>
      <c r="B154" s="441"/>
      <c r="C154" s="16" t="s">
        <v>115</v>
      </c>
      <c r="D154" s="16" t="s">
        <v>116</v>
      </c>
      <c r="E154" s="17"/>
    </row>
    <row r="155" spans="1:5" ht="13.5" customHeight="1" collapsed="1" x14ac:dyDescent="0.25">
      <c r="A155" s="5"/>
      <c r="B155" s="441" t="s">
        <v>135</v>
      </c>
      <c r="C155" s="448" t="s">
        <v>136</v>
      </c>
      <c r="D155" s="448"/>
      <c r="E155" s="25">
        <v>92387</v>
      </c>
    </row>
    <row r="156" spans="1:5" ht="13.5" customHeight="1" x14ac:dyDescent="0.25">
      <c r="A156" s="5"/>
      <c r="B156" s="441"/>
      <c r="C156" s="449" t="s">
        <v>100</v>
      </c>
      <c r="D156" s="449"/>
      <c r="E156" s="26">
        <v>83921</v>
      </c>
    </row>
    <row r="157" spans="1:5" ht="14.25" customHeight="1" x14ac:dyDescent="0.25">
      <c r="A157" s="5"/>
      <c r="B157" s="441"/>
      <c r="C157" s="14" t="s">
        <v>101</v>
      </c>
      <c r="D157" s="14" t="s">
        <v>102</v>
      </c>
      <c r="E157" s="24">
        <v>25098</v>
      </c>
    </row>
    <row r="158" spans="1:5" ht="13.5" customHeight="1" collapsed="1" x14ac:dyDescent="0.25">
      <c r="A158" s="5"/>
      <c r="B158" s="441"/>
      <c r="C158" s="14" t="s">
        <v>103</v>
      </c>
      <c r="D158" s="14" t="s">
        <v>104</v>
      </c>
      <c r="E158" s="24">
        <v>58823</v>
      </c>
    </row>
    <row r="159" spans="1:5" ht="13.5" hidden="1" customHeight="1" outlineLevel="1" x14ac:dyDescent="0.25">
      <c r="A159" s="5"/>
      <c r="B159" s="441"/>
      <c r="C159" s="14" t="s">
        <v>107</v>
      </c>
      <c r="D159" s="14" t="s">
        <v>108</v>
      </c>
      <c r="E159" s="24"/>
    </row>
    <row r="160" spans="1:5" ht="13.5" customHeight="1" collapsed="1" x14ac:dyDescent="0.25">
      <c r="A160" s="5"/>
      <c r="B160" s="441"/>
      <c r="C160" s="14" t="s">
        <v>109</v>
      </c>
      <c r="D160" s="14" t="s">
        <v>110</v>
      </c>
      <c r="E160" s="24">
        <v>8466</v>
      </c>
    </row>
    <row r="161" spans="1:5" ht="13.5" hidden="1" customHeight="1" outlineLevel="1" x14ac:dyDescent="0.25">
      <c r="A161" s="5"/>
      <c r="B161" s="441"/>
      <c r="C161" s="14" t="s">
        <v>111</v>
      </c>
      <c r="D161" s="14" t="s">
        <v>112</v>
      </c>
      <c r="E161" s="24"/>
    </row>
    <row r="162" spans="1:5" ht="14.25" hidden="1" customHeight="1" outlineLevel="1" x14ac:dyDescent="0.25">
      <c r="A162" s="5"/>
      <c r="B162" s="441"/>
      <c r="C162" s="14" t="s">
        <v>113</v>
      </c>
      <c r="D162" s="14" t="s">
        <v>114</v>
      </c>
      <c r="E162" s="24"/>
    </row>
    <row r="163" spans="1:5" ht="13.5" hidden="1" customHeight="1" outlineLevel="1" x14ac:dyDescent="0.25">
      <c r="A163" s="5"/>
      <c r="B163" s="441"/>
      <c r="C163" s="16" t="s">
        <v>115</v>
      </c>
      <c r="D163" s="16" t="s">
        <v>116</v>
      </c>
      <c r="E163" s="17"/>
    </row>
    <row r="164" spans="1:5" ht="13.5" customHeight="1" collapsed="1" x14ac:dyDescent="0.25">
      <c r="A164" s="5"/>
      <c r="B164" s="441" t="s">
        <v>137</v>
      </c>
      <c r="C164" s="444" t="s">
        <v>138</v>
      </c>
      <c r="D164" s="444"/>
      <c r="E164" s="22">
        <v>15483825</v>
      </c>
    </row>
    <row r="165" spans="1:5" ht="13.5" customHeight="1" x14ac:dyDescent="0.25">
      <c r="A165" s="5"/>
      <c r="B165" s="441"/>
      <c r="C165" s="445" t="s">
        <v>100</v>
      </c>
      <c r="D165" s="445"/>
      <c r="E165" s="23">
        <v>5315072</v>
      </c>
    </row>
    <row r="166" spans="1:5" ht="14.25" customHeight="1" x14ac:dyDescent="0.25">
      <c r="A166" s="5"/>
      <c r="B166" s="441"/>
      <c r="C166" s="14" t="s">
        <v>101</v>
      </c>
      <c r="D166" s="14" t="s">
        <v>102</v>
      </c>
      <c r="E166" s="24">
        <v>825780</v>
      </c>
    </row>
    <row r="167" spans="1:5" ht="13.5" customHeight="1" x14ac:dyDescent="0.25">
      <c r="A167" s="5"/>
      <c r="B167" s="441"/>
      <c r="C167" s="14" t="s">
        <v>103</v>
      </c>
      <c r="D167" s="14" t="s">
        <v>104</v>
      </c>
      <c r="E167" s="24">
        <v>3771996</v>
      </c>
    </row>
    <row r="168" spans="1:5" ht="13.5" customHeight="1" collapsed="1" x14ac:dyDescent="0.25">
      <c r="A168" s="5"/>
      <c r="B168" s="441"/>
      <c r="C168" s="14" t="s">
        <v>105</v>
      </c>
      <c r="D168" s="14" t="s">
        <v>106</v>
      </c>
      <c r="E168" s="24">
        <v>668500</v>
      </c>
    </row>
    <row r="169" spans="1:5" ht="13.5" hidden="1" customHeight="1" outlineLevel="1" x14ac:dyDescent="0.25">
      <c r="A169" s="5"/>
      <c r="B169" s="441"/>
      <c r="C169" s="14" t="s">
        <v>107</v>
      </c>
      <c r="D169" s="14" t="s">
        <v>108</v>
      </c>
      <c r="E169" s="24">
        <v>0</v>
      </c>
    </row>
    <row r="170" spans="1:5" ht="13.5" customHeight="1" collapsed="1" x14ac:dyDescent="0.25">
      <c r="A170" s="5"/>
      <c r="B170" s="441"/>
      <c r="C170" s="14" t="s">
        <v>109</v>
      </c>
      <c r="D170" s="14" t="s">
        <v>110</v>
      </c>
      <c r="E170" s="24">
        <v>10168753</v>
      </c>
    </row>
    <row r="171" spans="1:5" ht="14.25" customHeight="1" x14ac:dyDescent="0.25">
      <c r="A171" s="5"/>
      <c r="B171" s="441"/>
      <c r="C171" s="14" t="s">
        <v>111</v>
      </c>
      <c r="D171" s="14" t="s">
        <v>112</v>
      </c>
      <c r="E171" s="24">
        <v>42560</v>
      </c>
    </row>
    <row r="172" spans="1:5" ht="20.25" customHeight="1" collapsed="1" x14ac:dyDescent="0.25">
      <c r="A172" s="5"/>
      <c r="B172" s="441"/>
      <c r="C172" s="14" t="s">
        <v>113</v>
      </c>
      <c r="D172" s="14" t="s">
        <v>114</v>
      </c>
      <c r="E172" s="24">
        <v>6236</v>
      </c>
    </row>
    <row r="173" spans="1:5" ht="4.5" customHeight="1" outlineLevel="1" x14ac:dyDescent="0.25">
      <c r="A173" s="5"/>
      <c r="B173" s="441"/>
      <c r="C173" s="16" t="s">
        <v>115</v>
      </c>
      <c r="D173" s="16" t="s">
        <v>116</v>
      </c>
      <c r="E173" s="17">
        <v>0</v>
      </c>
    </row>
    <row r="174" spans="1:5" ht="13.5" customHeight="1" x14ac:dyDescent="0.25">
      <c r="A174" s="5"/>
      <c r="B174" s="441" t="s">
        <v>139</v>
      </c>
      <c r="C174" s="448" t="s">
        <v>140</v>
      </c>
      <c r="D174" s="448"/>
      <c r="E174" s="25">
        <v>359506</v>
      </c>
    </row>
    <row r="175" spans="1:5" ht="13.5" customHeight="1" x14ac:dyDescent="0.25">
      <c r="A175" s="5"/>
      <c r="B175" s="441"/>
      <c r="C175" s="449" t="s">
        <v>100</v>
      </c>
      <c r="D175" s="449"/>
      <c r="E175" s="26">
        <v>359506</v>
      </c>
    </row>
    <row r="176" spans="1:5" ht="14.25" customHeight="1" collapsed="1" x14ac:dyDescent="0.25">
      <c r="A176" s="5"/>
      <c r="B176" s="441"/>
      <c r="C176" s="14" t="s">
        <v>101</v>
      </c>
      <c r="D176" s="14" t="s">
        <v>102</v>
      </c>
      <c r="E176" s="24">
        <v>236250</v>
      </c>
    </row>
    <row r="177" spans="1:5" ht="13.5" hidden="1" customHeight="1" outlineLevel="1" x14ac:dyDescent="0.25">
      <c r="A177" s="5"/>
      <c r="B177" s="441"/>
      <c r="C177" s="14" t="s">
        <v>103</v>
      </c>
      <c r="D177" s="14" t="s">
        <v>104</v>
      </c>
      <c r="E177" s="24"/>
    </row>
    <row r="178" spans="1:5" ht="13.5" customHeight="1" collapsed="1" x14ac:dyDescent="0.25">
      <c r="A178" s="5"/>
      <c r="B178" s="441"/>
      <c r="C178" s="14" t="s">
        <v>105</v>
      </c>
      <c r="D178" s="14" t="s">
        <v>106</v>
      </c>
      <c r="E178" s="24">
        <v>76737</v>
      </c>
    </row>
    <row r="179" spans="1:5" ht="13.5" hidden="1" customHeight="1" outlineLevel="1" x14ac:dyDescent="0.25">
      <c r="A179" s="5"/>
      <c r="B179" s="441"/>
      <c r="C179" s="14" t="s">
        <v>107</v>
      </c>
      <c r="D179" s="14" t="s">
        <v>108</v>
      </c>
      <c r="E179" s="24"/>
    </row>
    <row r="180" spans="1:5" ht="13.5" hidden="1" customHeight="1" outlineLevel="1" x14ac:dyDescent="0.25">
      <c r="A180" s="5"/>
      <c r="B180" s="441"/>
      <c r="C180" s="14" t="s">
        <v>109</v>
      </c>
      <c r="D180" s="14" t="s">
        <v>110</v>
      </c>
      <c r="E180" s="24"/>
    </row>
    <row r="181" spans="1:5" ht="14.25" customHeight="1" collapsed="1" x14ac:dyDescent="0.25">
      <c r="A181" s="5"/>
      <c r="B181" s="441"/>
      <c r="C181" s="14" t="s">
        <v>111</v>
      </c>
      <c r="D181" s="14" t="s">
        <v>112</v>
      </c>
      <c r="E181" s="24">
        <v>42560</v>
      </c>
    </row>
    <row r="182" spans="1:5" ht="19.5" customHeight="1" collapsed="1" x14ac:dyDescent="0.25">
      <c r="A182" s="5"/>
      <c r="B182" s="441"/>
      <c r="C182" s="14" t="s">
        <v>113</v>
      </c>
      <c r="D182" s="14" t="s">
        <v>114</v>
      </c>
      <c r="E182" s="24">
        <v>3959</v>
      </c>
    </row>
    <row r="183" spans="1:5" ht="13.5" hidden="1" customHeight="1" outlineLevel="1" x14ac:dyDescent="0.25">
      <c r="A183" s="5"/>
      <c r="B183" s="441"/>
      <c r="C183" s="16" t="s">
        <v>115</v>
      </c>
      <c r="D183" s="16" t="s">
        <v>116</v>
      </c>
      <c r="E183" s="17"/>
    </row>
    <row r="184" spans="1:5" ht="13.5" customHeight="1" collapsed="1" x14ac:dyDescent="0.25">
      <c r="A184" s="5"/>
      <c r="B184" s="441" t="s">
        <v>141</v>
      </c>
      <c r="C184" s="448" t="s">
        <v>142</v>
      </c>
      <c r="D184" s="448"/>
      <c r="E184" s="25">
        <v>139866</v>
      </c>
    </row>
    <row r="185" spans="1:5" ht="13.5" customHeight="1" collapsed="1" x14ac:dyDescent="0.25">
      <c r="A185" s="5"/>
      <c r="B185" s="441"/>
      <c r="C185" s="449" t="s">
        <v>100</v>
      </c>
      <c r="D185" s="449"/>
      <c r="E185" s="26">
        <v>139866</v>
      </c>
    </row>
    <row r="186" spans="1:5" ht="14.25" hidden="1" customHeight="1" outlineLevel="1" x14ac:dyDescent="0.25">
      <c r="A186" s="5"/>
      <c r="B186" s="441"/>
      <c r="C186" s="14" t="s">
        <v>101</v>
      </c>
      <c r="D186" s="14" t="s">
        <v>102</v>
      </c>
      <c r="E186" s="24"/>
    </row>
    <row r="187" spans="1:5" ht="13.5" customHeight="1" collapsed="1" x14ac:dyDescent="0.25">
      <c r="A187" s="5"/>
      <c r="B187" s="441"/>
      <c r="C187" s="14" t="s">
        <v>103</v>
      </c>
      <c r="D187" s="14" t="s">
        <v>104</v>
      </c>
      <c r="E187" s="24">
        <v>139589</v>
      </c>
    </row>
    <row r="188" spans="1:5" ht="13.5" hidden="1" customHeight="1" outlineLevel="1" x14ac:dyDescent="0.25">
      <c r="A188" s="5"/>
      <c r="B188" s="441"/>
      <c r="C188" s="14" t="s">
        <v>105</v>
      </c>
      <c r="D188" s="14" t="s">
        <v>106</v>
      </c>
      <c r="E188" s="24"/>
    </row>
    <row r="189" spans="1:5" ht="13.5" hidden="1" customHeight="1" outlineLevel="1" x14ac:dyDescent="0.25">
      <c r="A189" s="5"/>
      <c r="B189" s="441"/>
      <c r="C189" s="14" t="s">
        <v>107</v>
      </c>
      <c r="D189" s="14" t="s">
        <v>108</v>
      </c>
      <c r="E189" s="24"/>
    </row>
    <row r="190" spans="1:5" ht="13.5" hidden="1" customHeight="1" outlineLevel="1" x14ac:dyDescent="0.25">
      <c r="A190" s="5"/>
      <c r="B190" s="441"/>
      <c r="C190" s="14" t="s">
        <v>109</v>
      </c>
      <c r="D190" s="14" t="s">
        <v>110</v>
      </c>
      <c r="E190" s="24"/>
    </row>
    <row r="191" spans="1:5" ht="14.25" hidden="1" customHeight="1" outlineLevel="1" x14ac:dyDescent="0.25">
      <c r="A191" s="5"/>
      <c r="B191" s="441"/>
      <c r="C191" s="14" t="s">
        <v>111</v>
      </c>
      <c r="D191" s="14" t="s">
        <v>112</v>
      </c>
      <c r="E191" s="24"/>
    </row>
    <row r="192" spans="1:5" ht="13.5" customHeight="1" collapsed="1" x14ac:dyDescent="0.25">
      <c r="A192" s="5"/>
      <c r="B192" s="441"/>
      <c r="C192" s="14" t="s">
        <v>113</v>
      </c>
      <c r="D192" s="14" t="s">
        <v>114</v>
      </c>
      <c r="E192" s="24">
        <v>277</v>
      </c>
    </row>
    <row r="193" spans="1:5" ht="13.5" hidden="1" customHeight="1" outlineLevel="1" x14ac:dyDescent="0.25">
      <c r="A193" s="5"/>
      <c r="B193" s="441"/>
      <c r="C193" s="16" t="s">
        <v>115</v>
      </c>
      <c r="D193" s="16" t="s">
        <v>116</v>
      </c>
      <c r="E193" s="17"/>
    </row>
    <row r="194" spans="1:5" ht="13.5" customHeight="1" collapsed="1" x14ac:dyDescent="0.25">
      <c r="A194" s="5"/>
      <c r="B194" s="453" t="s">
        <v>143</v>
      </c>
      <c r="C194" s="450" t="s">
        <v>144</v>
      </c>
      <c r="D194" s="450"/>
      <c r="E194" s="27">
        <v>139483</v>
      </c>
    </row>
    <row r="195" spans="1:5" ht="13.5" customHeight="1" collapsed="1" x14ac:dyDescent="0.25">
      <c r="A195" s="5"/>
      <c r="B195" s="453"/>
      <c r="C195" s="451" t="s">
        <v>100</v>
      </c>
      <c r="D195" s="451"/>
      <c r="E195" s="28">
        <v>139483</v>
      </c>
    </row>
    <row r="196" spans="1:5" ht="14.25" hidden="1" customHeight="1" outlineLevel="1" x14ac:dyDescent="0.25">
      <c r="A196" s="5"/>
      <c r="B196" s="453"/>
      <c r="C196" s="14" t="s">
        <v>101</v>
      </c>
      <c r="D196" s="14" t="s">
        <v>102</v>
      </c>
      <c r="E196" s="24"/>
    </row>
    <row r="197" spans="1:5" ht="13.5" customHeight="1" collapsed="1" x14ac:dyDescent="0.25">
      <c r="A197" s="5"/>
      <c r="B197" s="453"/>
      <c r="C197" s="14" t="s">
        <v>103</v>
      </c>
      <c r="D197" s="14" t="s">
        <v>104</v>
      </c>
      <c r="E197" s="24">
        <v>139206</v>
      </c>
    </row>
    <row r="198" spans="1:5" ht="13.5" hidden="1" customHeight="1" outlineLevel="1" x14ac:dyDescent="0.25">
      <c r="A198" s="5"/>
      <c r="B198" s="453"/>
      <c r="C198" s="14" t="s">
        <v>105</v>
      </c>
      <c r="D198" s="14" t="s">
        <v>106</v>
      </c>
      <c r="E198" s="24"/>
    </row>
    <row r="199" spans="1:5" ht="13.5" hidden="1" customHeight="1" outlineLevel="1" x14ac:dyDescent="0.25">
      <c r="A199" s="5"/>
      <c r="B199" s="453"/>
      <c r="C199" s="14" t="s">
        <v>107</v>
      </c>
      <c r="D199" s="14" t="s">
        <v>108</v>
      </c>
      <c r="E199" s="24"/>
    </row>
    <row r="200" spans="1:5" ht="13.5" hidden="1" customHeight="1" outlineLevel="1" x14ac:dyDescent="0.25">
      <c r="A200" s="5"/>
      <c r="B200" s="453"/>
      <c r="C200" s="14" t="s">
        <v>109</v>
      </c>
      <c r="D200" s="14" t="s">
        <v>110</v>
      </c>
      <c r="E200" s="24"/>
    </row>
    <row r="201" spans="1:5" ht="14.25" hidden="1" customHeight="1" outlineLevel="1" x14ac:dyDescent="0.25">
      <c r="A201" s="5"/>
      <c r="B201" s="453"/>
      <c r="C201" s="14" t="s">
        <v>111</v>
      </c>
      <c r="D201" s="14" t="s">
        <v>112</v>
      </c>
      <c r="E201" s="24"/>
    </row>
    <row r="202" spans="1:5" ht="13.5" customHeight="1" collapsed="1" x14ac:dyDescent="0.25">
      <c r="A202" s="5"/>
      <c r="B202" s="453"/>
      <c r="C202" s="14" t="s">
        <v>113</v>
      </c>
      <c r="D202" s="14" t="s">
        <v>114</v>
      </c>
      <c r="E202" s="24">
        <v>277</v>
      </c>
    </row>
    <row r="203" spans="1:5" ht="13.5" hidden="1" customHeight="1" outlineLevel="1" x14ac:dyDescent="0.25">
      <c r="A203" s="5"/>
      <c r="B203" s="453"/>
      <c r="C203" s="14" t="s">
        <v>115</v>
      </c>
      <c r="D203" s="14" t="s">
        <v>116</v>
      </c>
      <c r="E203" s="24"/>
    </row>
    <row r="204" spans="1:5" ht="13.5" customHeight="1" collapsed="1" x14ac:dyDescent="0.25">
      <c r="A204" s="5"/>
      <c r="B204" s="452" t="s">
        <v>145</v>
      </c>
      <c r="C204" s="451" t="s">
        <v>146</v>
      </c>
      <c r="D204" s="451"/>
      <c r="E204" s="28">
        <v>383</v>
      </c>
    </row>
    <row r="205" spans="1:5" ht="13.5" customHeight="1" collapsed="1" x14ac:dyDescent="0.25">
      <c r="A205" s="5"/>
      <c r="B205" s="452"/>
      <c r="C205" s="451" t="s">
        <v>100</v>
      </c>
      <c r="D205" s="451"/>
      <c r="E205" s="28">
        <v>383</v>
      </c>
    </row>
    <row r="206" spans="1:5" ht="14.25" hidden="1" customHeight="1" outlineLevel="1" x14ac:dyDescent="0.25">
      <c r="A206" s="5"/>
      <c r="B206" s="452"/>
      <c r="C206" s="14" t="s">
        <v>101</v>
      </c>
      <c r="D206" s="14" t="s">
        <v>102</v>
      </c>
      <c r="E206" s="24"/>
    </row>
    <row r="207" spans="1:5" ht="13.5" customHeight="1" collapsed="1" x14ac:dyDescent="0.25">
      <c r="A207" s="5"/>
      <c r="B207" s="452"/>
      <c r="C207" s="14" t="s">
        <v>103</v>
      </c>
      <c r="D207" s="14" t="s">
        <v>104</v>
      </c>
      <c r="E207" s="24">
        <v>383</v>
      </c>
    </row>
    <row r="208" spans="1:5" ht="13.5" hidden="1" customHeight="1" outlineLevel="1" x14ac:dyDescent="0.25">
      <c r="A208" s="5"/>
      <c r="B208" s="452"/>
      <c r="C208" s="14" t="s">
        <v>105</v>
      </c>
      <c r="D208" s="14" t="s">
        <v>106</v>
      </c>
      <c r="E208" s="24"/>
    </row>
    <row r="209" spans="1:5" ht="13.5" hidden="1" customHeight="1" outlineLevel="1" x14ac:dyDescent="0.25">
      <c r="A209" s="5"/>
      <c r="B209" s="452"/>
      <c r="C209" s="14" t="s">
        <v>107</v>
      </c>
      <c r="D209" s="14" t="s">
        <v>108</v>
      </c>
      <c r="E209" s="24"/>
    </row>
    <row r="210" spans="1:5" ht="13.5" hidden="1" customHeight="1" outlineLevel="1" x14ac:dyDescent="0.25">
      <c r="A210" s="5"/>
      <c r="B210" s="452"/>
      <c r="C210" s="14" t="s">
        <v>109</v>
      </c>
      <c r="D210" s="14" t="s">
        <v>110</v>
      </c>
      <c r="E210" s="24"/>
    </row>
    <row r="211" spans="1:5" ht="14.25" hidden="1" customHeight="1" outlineLevel="1" x14ac:dyDescent="0.25">
      <c r="A211" s="5"/>
      <c r="B211" s="452"/>
      <c r="C211" s="14" t="s">
        <v>111</v>
      </c>
      <c r="D211" s="14" t="s">
        <v>112</v>
      </c>
      <c r="E211" s="24"/>
    </row>
    <row r="212" spans="1:5" ht="13.5" hidden="1" customHeight="1" outlineLevel="1" x14ac:dyDescent="0.25">
      <c r="A212" s="5"/>
      <c r="B212" s="452"/>
      <c r="C212" s="14" t="s">
        <v>113</v>
      </c>
      <c r="D212" s="14" t="s">
        <v>114</v>
      </c>
      <c r="E212" s="24"/>
    </row>
    <row r="213" spans="1:5" ht="13.5" hidden="1" customHeight="1" outlineLevel="1" x14ac:dyDescent="0.25">
      <c r="A213" s="5"/>
      <c r="B213" s="452"/>
      <c r="C213" s="16" t="s">
        <v>115</v>
      </c>
      <c r="D213" s="16" t="s">
        <v>116</v>
      </c>
      <c r="E213" s="17"/>
    </row>
    <row r="214" spans="1:5" ht="13.5" customHeight="1" collapsed="1" x14ac:dyDescent="0.25">
      <c r="A214" s="5"/>
      <c r="B214" s="441" t="s">
        <v>147</v>
      </c>
      <c r="C214" s="448" t="s">
        <v>148</v>
      </c>
      <c r="D214" s="448"/>
      <c r="E214" s="25">
        <v>941077</v>
      </c>
    </row>
    <row r="215" spans="1:5" ht="13.5" customHeight="1" collapsed="1" x14ac:dyDescent="0.25">
      <c r="A215" s="5"/>
      <c r="B215" s="441"/>
      <c r="C215" s="449" t="s">
        <v>100</v>
      </c>
      <c r="D215" s="449"/>
      <c r="E215" s="26">
        <v>861783</v>
      </c>
    </row>
    <row r="216" spans="1:5" ht="14.25" hidden="1" customHeight="1" outlineLevel="1" x14ac:dyDescent="0.25">
      <c r="A216" s="5"/>
      <c r="B216" s="441"/>
      <c r="C216" s="14" t="s">
        <v>101</v>
      </c>
      <c r="D216" s="14" t="s">
        <v>102</v>
      </c>
      <c r="E216" s="24"/>
    </row>
    <row r="217" spans="1:5" ht="13.5" customHeight="1" collapsed="1" x14ac:dyDescent="0.25">
      <c r="A217" s="5"/>
      <c r="B217" s="441"/>
      <c r="C217" s="14" t="s">
        <v>103</v>
      </c>
      <c r="D217" s="14" t="s">
        <v>104</v>
      </c>
      <c r="E217" s="24">
        <v>861783</v>
      </c>
    </row>
    <row r="218" spans="1:5" ht="13.5" hidden="1" customHeight="1" outlineLevel="1" x14ac:dyDescent="0.25">
      <c r="A218" s="5"/>
      <c r="B218" s="441"/>
      <c r="C218" s="14" t="s">
        <v>105</v>
      </c>
      <c r="D218" s="14" t="s">
        <v>106</v>
      </c>
      <c r="E218" s="24"/>
    </row>
    <row r="219" spans="1:5" ht="13.5" hidden="1" customHeight="1" outlineLevel="1" x14ac:dyDescent="0.25">
      <c r="A219" s="5"/>
      <c r="B219" s="441"/>
      <c r="C219" s="14" t="s">
        <v>107</v>
      </c>
      <c r="D219" s="14" t="s">
        <v>108</v>
      </c>
      <c r="E219" s="24"/>
    </row>
    <row r="220" spans="1:5" ht="13.5" customHeight="1" collapsed="1" x14ac:dyDescent="0.25">
      <c r="A220" s="5"/>
      <c r="B220" s="441"/>
      <c r="C220" s="14" t="s">
        <v>109</v>
      </c>
      <c r="D220" s="14" t="s">
        <v>110</v>
      </c>
      <c r="E220" s="24">
        <v>79294</v>
      </c>
    </row>
    <row r="221" spans="1:5" ht="14.25" hidden="1" customHeight="1" outlineLevel="1" x14ac:dyDescent="0.25">
      <c r="A221" s="5"/>
      <c r="B221" s="441"/>
      <c r="C221" s="14" t="s">
        <v>111</v>
      </c>
      <c r="D221" s="14" t="s">
        <v>112</v>
      </c>
      <c r="E221" s="24"/>
    </row>
    <row r="222" spans="1:5" ht="13.5" hidden="1" customHeight="1" outlineLevel="1" x14ac:dyDescent="0.25">
      <c r="A222" s="5"/>
      <c r="B222" s="441"/>
      <c r="C222" s="14" t="s">
        <v>113</v>
      </c>
      <c r="D222" s="14" t="s">
        <v>114</v>
      </c>
      <c r="E222" s="24"/>
    </row>
    <row r="223" spans="1:5" ht="13.5" hidden="1" customHeight="1" outlineLevel="1" x14ac:dyDescent="0.25">
      <c r="A223" s="5"/>
      <c r="B223" s="441"/>
      <c r="C223" s="16" t="s">
        <v>115</v>
      </c>
      <c r="D223" s="16" t="s">
        <v>116</v>
      </c>
      <c r="E223" s="17"/>
    </row>
    <row r="224" spans="1:5" ht="13.5" customHeight="1" collapsed="1" x14ac:dyDescent="0.25">
      <c r="A224" s="5"/>
      <c r="B224" s="441" t="s">
        <v>149</v>
      </c>
      <c r="C224" s="448" t="s">
        <v>150</v>
      </c>
      <c r="D224" s="448"/>
      <c r="E224" s="25">
        <v>356118</v>
      </c>
    </row>
    <row r="225" spans="1:5" ht="13.5" customHeight="1" x14ac:dyDescent="0.25">
      <c r="A225" s="5"/>
      <c r="B225" s="441"/>
      <c r="C225" s="449" t="s">
        <v>100</v>
      </c>
      <c r="D225" s="449"/>
      <c r="E225" s="26">
        <v>354818</v>
      </c>
    </row>
    <row r="226" spans="1:5" ht="14.25" customHeight="1" x14ac:dyDescent="0.25">
      <c r="A226" s="5"/>
      <c r="B226" s="441"/>
      <c r="C226" s="14" t="s">
        <v>101</v>
      </c>
      <c r="D226" s="14" t="s">
        <v>102</v>
      </c>
      <c r="E226" s="24">
        <v>329952</v>
      </c>
    </row>
    <row r="227" spans="1:5" ht="13.5" customHeight="1" collapsed="1" x14ac:dyDescent="0.25">
      <c r="A227" s="5"/>
      <c r="B227" s="441"/>
      <c r="C227" s="14" t="s">
        <v>103</v>
      </c>
      <c r="D227" s="14" t="s">
        <v>104</v>
      </c>
      <c r="E227" s="24">
        <v>24866</v>
      </c>
    </row>
    <row r="228" spans="1:5" ht="13.5" hidden="1" customHeight="1" outlineLevel="1" x14ac:dyDescent="0.25">
      <c r="A228" s="5"/>
      <c r="B228" s="441"/>
      <c r="C228" s="14" t="s">
        <v>105</v>
      </c>
      <c r="D228" s="14" t="s">
        <v>106</v>
      </c>
      <c r="E228" s="24"/>
    </row>
    <row r="229" spans="1:5" ht="13.5" hidden="1" customHeight="1" outlineLevel="1" x14ac:dyDescent="0.25">
      <c r="A229" s="5"/>
      <c r="B229" s="441"/>
      <c r="C229" s="14" t="s">
        <v>107</v>
      </c>
      <c r="D229" s="14" t="s">
        <v>108</v>
      </c>
      <c r="E229" s="24"/>
    </row>
    <row r="230" spans="1:5" ht="13.5" customHeight="1" collapsed="1" x14ac:dyDescent="0.25">
      <c r="A230" s="5"/>
      <c r="B230" s="441"/>
      <c r="C230" s="14" t="s">
        <v>109</v>
      </c>
      <c r="D230" s="14" t="s">
        <v>110</v>
      </c>
      <c r="E230" s="24">
        <v>1300</v>
      </c>
    </row>
    <row r="231" spans="1:5" ht="14.25" hidden="1" customHeight="1" outlineLevel="1" x14ac:dyDescent="0.25">
      <c r="A231" s="5"/>
      <c r="B231" s="441"/>
      <c r="C231" s="14" t="s">
        <v>111</v>
      </c>
      <c r="D231" s="14" t="s">
        <v>112</v>
      </c>
      <c r="E231" s="24"/>
    </row>
    <row r="232" spans="1:5" ht="13.5" hidden="1" customHeight="1" outlineLevel="1" x14ac:dyDescent="0.25">
      <c r="A232" s="5"/>
      <c r="B232" s="441"/>
      <c r="C232" s="14" t="s">
        <v>113</v>
      </c>
      <c r="D232" s="14" t="s">
        <v>114</v>
      </c>
      <c r="E232" s="24"/>
    </row>
    <row r="233" spans="1:5" ht="13.5" hidden="1" customHeight="1" outlineLevel="1" x14ac:dyDescent="0.25">
      <c r="A233" s="5"/>
      <c r="B233" s="441"/>
      <c r="C233" s="16" t="s">
        <v>115</v>
      </c>
      <c r="D233" s="16" t="s">
        <v>116</v>
      </c>
      <c r="E233" s="17"/>
    </row>
    <row r="234" spans="1:5" ht="13.5" customHeight="1" collapsed="1" x14ac:dyDescent="0.25">
      <c r="A234" s="5"/>
      <c r="B234" s="441" t="s">
        <v>151</v>
      </c>
      <c r="C234" s="448" t="s">
        <v>152</v>
      </c>
      <c r="D234" s="448"/>
      <c r="E234" s="25">
        <v>12909489</v>
      </c>
    </row>
    <row r="235" spans="1:5" ht="13.5" customHeight="1" collapsed="1" x14ac:dyDescent="0.25">
      <c r="A235" s="5"/>
      <c r="B235" s="441"/>
      <c r="C235" s="449" t="s">
        <v>100</v>
      </c>
      <c r="D235" s="449"/>
      <c r="E235" s="26">
        <v>3067070</v>
      </c>
    </row>
    <row r="236" spans="1:5" ht="14.25" hidden="1" customHeight="1" outlineLevel="1" x14ac:dyDescent="0.25">
      <c r="A236" s="5"/>
      <c r="B236" s="441"/>
      <c r="C236" s="14" t="s">
        <v>101</v>
      </c>
      <c r="D236" s="14" t="s">
        <v>102</v>
      </c>
      <c r="E236" s="24"/>
    </row>
    <row r="237" spans="1:5" ht="13.5" customHeight="1" collapsed="1" x14ac:dyDescent="0.25">
      <c r="A237" s="5"/>
      <c r="B237" s="441"/>
      <c r="C237" s="14" t="s">
        <v>103</v>
      </c>
      <c r="D237" s="14" t="s">
        <v>104</v>
      </c>
      <c r="E237" s="24">
        <v>2554256</v>
      </c>
    </row>
    <row r="238" spans="1:5" ht="13.5" customHeight="1" collapsed="1" x14ac:dyDescent="0.25">
      <c r="A238" s="5"/>
      <c r="B238" s="441"/>
      <c r="C238" s="14" t="s">
        <v>105</v>
      </c>
      <c r="D238" s="14" t="s">
        <v>106</v>
      </c>
      <c r="E238" s="24">
        <v>512814</v>
      </c>
    </row>
    <row r="239" spans="1:5" ht="13.5" hidden="1" customHeight="1" outlineLevel="1" x14ac:dyDescent="0.25">
      <c r="A239" s="5"/>
      <c r="B239" s="441"/>
      <c r="C239" s="14" t="s">
        <v>107</v>
      </c>
      <c r="D239" s="14" t="s">
        <v>108</v>
      </c>
      <c r="E239" s="24"/>
    </row>
    <row r="240" spans="1:5" ht="13.5" customHeight="1" collapsed="1" x14ac:dyDescent="0.25">
      <c r="A240" s="5"/>
      <c r="B240" s="441"/>
      <c r="C240" s="14" t="s">
        <v>109</v>
      </c>
      <c r="D240" s="14" t="s">
        <v>110</v>
      </c>
      <c r="E240" s="24">
        <v>9842419</v>
      </c>
    </row>
    <row r="241" spans="1:5" ht="14.25" hidden="1" customHeight="1" outlineLevel="1" x14ac:dyDescent="0.25">
      <c r="A241" s="5"/>
      <c r="B241" s="441"/>
      <c r="C241" s="14" t="s">
        <v>111</v>
      </c>
      <c r="D241" s="14" t="s">
        <v>112</v>
      </c>
      <c r="E241" s="24"/>
    </row>
    <row r="242" spans="1:5" ht="13.5" hidden="1" customHeight="1" outlineLevel="1" x14ac:dyDescent="0.25">
      <c r="A242" s="5"/>
      <c r="B242" s="441"/>
      <c r="C242" s="14" t="s">
        <v>113</v>
      </c>
      <c r="D242" s="14" t="s">
        <v>114</v>
      </c>
      <c r="E242" s="24"/>
    </row>
    <row r="243" spans="1:5" ht="13.5" hidden="1" customHeight="1" outlineLevel="1" x14ac:dyDescent="0.25">
      <c r="A243" s="5"/>
      <c r="B243" s="441"/>
      <c r="C243" s="16" t="s">
        <v>115</v>
      </c>
      <c r="D243" s="16" t="s">
        <v>116</v>
      </c>
      <c r="E243" s="17"/>
    </row>
    <row r="244" spans="1:5" ht="13.5" customHeight="1" collapsed="1" x14ac:dyDescent="0.25">
      <c r="A244" s="5"/>
      <c r="B244" s="441" t="s">
        <v>153</v>
      </c>
      <c r="C244" s="448" t="s">
        <v>154</v>
      </c>
      <c r="D244" s="448"/>
      <c r="E244" s="25">
        <v>659769</v>
      </c>
    </row>
    <row r="245" spans="1:5" ht="13.5" customHeight="1" x14ac:dyDescent="0.25">
      <c r="A245" s="5"/>
      <c r="B245" s="441"/>
      <c r="C245" s="449" t="s">
        <v>100</v>
      </c>
      <c r="D245" s="449"/>
      <c r="E245" s="26">
        <v>431743</v>
      </c>
    </row>
    <row r="246" spans="1:5" ht="14.25" customHeight="1" x14ac:dyDescent="0.25">
      <c r="A246" s="5"/>
      <c r="B246" s="441"/>
      <c r="C246" s="14" t="s">
        <v>101</v>
      </c>
      <c r="D246" s="14" t="s">
        <v>102</v>
      </c>
      <c r="E246" s="24">
        <v>259578</v>
      </c>
    </row>
    <row r="247" spans="1:5" ht="13.5" customHeight="1" x14ac:dyDescent="0.25">
      <c r="A247" s="5"/>
      <c r="B247" s="441"/>
      <c r="C247" s="14" t="s">
        <v>103</v>
      </c>
      <c r="D247" s="14" t="s">
        <v>104</v>
      </c>
      <c r="E247" s="24">
        <v>151216</v>
      </c>
    </row>
    <row r="248" spans="1:5" ht="13.5" customHeight="1" collapsed="1" x14ac:dyDescent="0.25">
      <c r="A248" s="5"/>
      <c r="B248" s="441"/>
      <c r="C248" s="14" t="s">
        <v>105</v>
      </c>
      <c r="D248" s="14" t="s">
        <v>106</v>
      </c>
      <c r="E248" s="24">
        <v>18949</v>
      </c>
    </row>
    <row r="249" spans="1:5" ht="13.5" hidden="1" customHeight="1" outlineLevel="1" x14ac:dyDescent="0.25">
      <c r="A249" s="5"/>
      <c r="B249" s="441"/>
      <c r="C249" s="14" t="s">
        <v>107</v>
      </c>
      <c r="D249" s="14" t="s">
        <v>108</v>
      </c>
      <c r="E249" s="24"/>
    </row>
    <row r="250" spans="1:5" ht="13.5" customHeight="1" collapsed="1" x14ac:dyDescent="0.25">
      <c r="A250" s="5"/>
      <c r="B250" s="441"/>
      <c r="C250" s="14" t="s">
        <v>109</v>
      </c>
      <c r="D250" s="14" t="s">
        <v>110</v>
      </c>
      <c r="E250" s="24">
        <v>228026</v>
      </c>
    </row>
    <row r="251" spans="1:5" ht="14.25" hidden="1" customHeight="1" outlineLevel="1" x14ac:dyDescent="0.25">
      <c r="A251" s="5"/>
      <c r="B251" s="441"/>
      <c r="C251" s="14" t="s">
        <v>111</v>
      </c>
      <c r="D251" s="14" t="s">
        <v>112</v>
      </c>
      <c r="E251" s="24"/>
    </row>
    <row r="252" spans="1:5" ht="13.5" customHeight="1" collapsed="1" x14ac:dyDescent="0.25">
      <c r="A252" s="5"/>
      <c r="B252" s="441"/>
      <c r="C252" s="14" t="s">
        <v>113</v>
      </c>
      <c r="D252" s="14" t="s">
        <v>114</v>
      </c>
      <c r="E252" s="24">
        <v>2000</v>
      </c>
    </row>
    <row r="253" spans="1:5" ht="13.5" hidden="1" customHeight="1" outlineLevel="1" x14ac:dyDescent="0.25">
      <c r="A253" s="5"/>
      <c r="B253" s="441"/>
      <c r="C253" s="16" t="s">
        <v>115</v>
      </c>
      <c r="D253" s="16" t="s">
        <v>116</v>
      </c>
      <c r="E253" s="17"/>
    </row>
    <row r="254" spans="1:5" ht="13.5" customHeight="1" collapsed="1" x14ac:dyDescent="0.25">
      <c r="A254" s="5"/>
      <c r="B254" s="453" t="s">
        <v>155</v>
      </c>
      <c r="C254" s="450" t="s">
        <v>156</v>
      </c>
      <c r="D254" s="450"/>
      <c r="E254" s="27">
        <v>436417</v>
      </c>
    </row>
    <row r="255" spans="1:5" ht="13.5" customHeight="1" x14ac:dyDescent="0.25">
      <c r="A255" s="5"/>
      <c r="B255" s="453"/>
      <c r="C255" s="451" t="s">
        <v>100</v>
      </c>
      <c r="D255" s="451"/>
      <c r="E255" s="28">
        <v>431743</v>
      </c>
    </row>
    <row r="256" spans="1:5" ht="14.25" customHeight="1" x14ac:dyDescent="0.25">
      <c r="A256" s="5"/>
      <c r="B256" s="453"/>
      <c r="C256" s="14" t="s">
        <v>101</v>
      </c>
      <c r="D256" s="14" t="s">
        <v>102</v>
      </c>
      <c r="E256" s="24">
        <v>259578</v>
      </c>
    </row>
    <row r="257" spans="1:5" ht="13.5" customHeight="1" x14ac:dyDescent="0.25">
      <c r="A257" s="5"/>
      <c r="B257" s="453"/>
      <c r="C257" s="14" t="s">
        <v>103</v>
      </c>
      <c r="D257" s="14" t="s">
        <v>104</v>
      </c>
      <c r="E257" s="24">
        <v>151216</v>
      </c>
    </row>
    <row r="258" spans="1:5" ht="13.5" customHeight="1" collapsed="1" x14ac:dyDescent="0.25">
      <c r="A258" s="5"/>
      <c r="B258" s="453"/>
      <c r="C258" s="14" t="s">
        <v>105</v>
      </c>
      <c r="D258" s="14" t="s">
        <v>106</v>
      </c>
      <c r="E258" s="24">
        <v>18949</v>
      </c>
    </row>
    <row r="259" spans="1:5" ht="13.5" hidden="1" customHeight="1" outlineLevel="1" x14ac:dyDescent="0.25">
      <c r="A259" s="5"/>
      <c r="B259" s="453"/>
      <c r="C259" s="14" t="s">
        <v>107</v>
      </c>
      <c r="D259" s="14" t="s">
        <v>108</v>
      </c>
      <c r="E259" s="24"/>
    </row>
    <row r="260" spans="1:5" ht="13.5" customHeight="1" collapsed="1" x14ac:dyDescent="0.25">
      <c r="A260" s="5"/>
      <c r="B260" s="453"/>
      <c r="C260" s="14" t="s">
        <v>109</v>
      </c>
      <c r="D260" s="14" t="s">
        <v>110</v>
      </c>
      <c r="E260" s="24">
        <v>4674</v>
      </c>
    </row>
    <row r="261" spans="1:5" ht="14.25" hidden="1" customHeight="1" outlineLevel="1" x14ac:dyDescent="0.25">
      <c r="A261" s="5"/>
      <c r="B261" s="453"/>
      <c r="C261" s="14" t="s">
        <v>111</v>
      </c>
      <c r="D261" s="14" t="s">
        <v>112</v>
      </c>
      <c r="E261" s="24"/>
    </row>
    <row r="262" spans="1:5" ht="13.5" customHeight="1" collapsed="1" x14ac:dyDescent="0.25">
      <c r="A262" s="5"/>
      <c r="B262" s="453"/>
      <c r="C262" s="14" t="s">
        <v>113</v>
      </c>
      <c r="D262" s="14" t="s">
        <v>114</v>
      </c>
      <c r="E262" s="24">
        <v>2000</v>
      </c>
    </row>
    <row r="263" spans="1:5" ht="13.5" hidden="1" customHeight="1" outlineLevel="1" x14ac:dyDescent="0.25">
      <c r="A263" s="5"/>
      <c r="B263" s="453"/>
      <c r="C263" s="14" t="s">
        <v>115</v>
      </c>
      <c r="D263" s="14" t="s">
        <v>116</v>
      </c>
      <c r="E263" s="24"/>
    </row>
    <row r="264" spans="1:5" ht="13.5" customHeight="1" collapsed="1" x14ac:dyDescent="0.25">
      <c r="A264" s="5"/>
      <c r="B264" s="452" t="s">
        <v>157</v>
      </c>
      <c r="C264" s="451" t="s">
        <v>158</v>
      </c>
      <c r="D264" s="451"/>
      <c r="E264" s="28">
        <v>223352</v>
      </c>
    </row>
    <row r="265" spans="1:5" ht="13.5" customHeight="1" collapsed="1" x14ac:dyDescent="0.25">
      <c r="A265" s="5"/>
      <c r="B265" s="452"/>
      <c r="C265" s="451" t="s">
        <v>100</v>
      </c>
      <c r="D265" s="451"/>
      <c r="E265" s="28">
        <v>0</v>
      </c>
    </row>
    <row r="266" spans="1:5" ht="14.25" hidden="1" customHeight="1" outlineLevel="1" x14ac:dyDescent="0.25">
      <c r="A266" s="5"/>
      <c r="B266" s="452"/>
      <c r="C266" s="14" t="s">
        <v>101</v>
      </c>
      <c r="D266" s="14" t="s">
        <v>102</v>
      </c>
      <c r="E266" s="24"/>
    </row>
    <row r="267" spans="1:5" ht="13.5" hidden="1" customHeight="1" outlineLevel="1" x14ac:dyDescent="0.25">
      <c r="A267" s="5"/>
      <c r="B267" s="452"/>
      <c r="C267" s="14" t="s">
        <v>103</v>
      </c>
      <c r="D267" s="14" t="s">
        <v>104</v>
      </c>
      <c r="E267" s="24"/>
    </row>
    <row r="268" spans="1:5" ht="13.5" hidden="1" customHeight="1" outlineLevel="1" x14ac:dyDescent="0.25">
      <c r="A268" s="5"/>
      <c r="B268" s="452"/>
      <c r="C268" s="14" t="s">
        <v>105</v>
      </c>
      <c r="D268" s="14" t="s">
        <v>106</v>
      </c>
      <c r="E268" s="24"/>
    </row>
    <row r="269" spans="1:5" ht="13.5" hidden="1" customHeight="1" outlineLevel="1" x14ac:dyDescent="0.25">
      <c r="A269" s="5"/>
      <c r="B269" s="452"/>
      <c r="C269" s="14" t="s">
        <v>107</v>
      </c>
      <c r="D269" s="14" t="s">
        <v>108</v>
      </c>
      <c r="E269" s="24"/>
    </row>
    <row r="270" spans="1:5" ht="13.5" customHeight="1" collapsed="1" x14ac:dyDescent="0.25">
      <c r="A270" s="5"/>
      <c r="B270" s="452"/>
      <c r="C270" s="14" t="s">
        <v>109</v>
      </c>
      <c r="D270" s="14" t="s">
        <v>110</v>
      </c>
      <c r="E270" s="24">
        <v>223352</v>
      </c>
    </row>
    <row r="271" spans="1:5" ht="14.25" hidden="1" customHeight="1" outlineLevel="1" x14ac:dyDescent="0.25">
      <c r="A271" s="5"/>
      <c r="B271" s="452"/>
      <c r="C271" s="14" t="s">
        <v>111</v>
      </c>
      <c r="D271" s="14" t="s">
        <v>112</v>
      </c>
      <c r="E271" s="24"/>
    </row>
    <row r="272" spans="1:5" ht="13.5" hidden="1" customHeight="1" outlineLevel="1" x14ac:dyDescent="0.25">
      <c r="A272" s="5"/>
      <c r="B272" s="452"/>
      <c r="C272" s="14" t="s">
        <v>113</v>
      </c>
      <c r="D272" s="14" t="s">
        <v>114</v>
      </c>
      <c r="E272" s="24"/>
    </row>
    <row r="273" spans="1:5" ht="13.5" hidden="1" customHeight="1" outlineLevel="1" x14ac:dyDescent="0.25">
      <c r="A273" s="5"/>
      <c r="B273" s="452"/>
      <c r="C273" s="16" t="s">
        <v>115</v>
      </c>
      <c r="D273" s="16" t="s">
        <v>116</v>
      </c>
      <c r="E273" s="17"/>
    </row>
    <row r="274" spans="1:5" ht="13.5" customHeight="1" collapsed="1" x14ac:dyDescent="0.25">
      <c r="A274" s="5"/>
      <c r="B274" s="441" t="s">
        <v>159</v>
      </c>
      <c r="C274" s="448" t="s">
        <v>160</v>
      </c>
      <c r="D274" s="448"/>
      <c r="E274" s="25">
        <v>118000</v>
      </c>
    </row>
    <row r="275" spans="1:5" ht="13.5" customHeight="1" collapsed="1" x14ac:dyDescent="0.25">
      <c r="A275" s="5"/>
      <c r="B275" s="441"/>
      <c r="C275" s="449" t="s">
        <v>100</v>
      </c>
      <c r="D275" s="449"/>
      <c r="E275" s="26">
        <v>100286</v>
      </c>
    </row>
    <row r="276" spans="1:5" ht="14.25" hidden="1" customHeight="1" outlineLevel="1" x14ac:dyDescent="0.25">
      <c r="A276" s="5"/>
      <c r="B276" s="441"/>
      <c r="C276" s="14" t="s">
        <v>101</v>
      </c>
      <c r="D276" s="14" t="s">
        <v>102</v>
      </c>
      <c r="E276" s="24"/>
    </row>
    <row r="277" spans="1:5" ht="13.5" customHeight="1" collapsed="1" x14ac:dyDescent="0.25">
      <c r="A277" s="5"/>
      <c r="B277" s="441"/>
      <c r="C277" s="14" t="s">
        <v>103</v>
      </c>
      <c r="D277" s="14" t="s">
        <v>104</v>
      </c>
      <c r="E277" s="24">
        <v>40286</v>
      </c>
    </row>
    <row r="278" spans="1:5" ht="13.5" customHeight="1" collapsed="1" x14ac:dyDescent="0.25">
      <c r="A278" s="5"/>
      <c r="B278" s="441"/>
      <c r="C278" s="14" t="s">
        <v>105</v>
      </c>
      <c r="D278" s="14" t="s">
        <v>106</v>
      </c>
      <c r="E278" s="24">
        <v>60000</v>
      </c>
    </row>
    <row r="279" spans="1:5" ht="13.5" hidden="1" customHeight="1" outlineLevel="1" x14ac:dyDescent="0.25">
      <c r="A279" s="5"/>
      <c r="B279" s="441"/>
      <c r="C279" s="14" t="s">
        <v>107</v>
      </c>
      <c r="D279" s="14" t="s">
        <v>108</v>
      </c>
      <c r="E279" s="24"/>
    </row>
    <row r="280" spans="1:5" ht="13.5" customHeight="1" collapsed="1" x14ac:dyDescent="0.25">
      <c r="A280" s="5"/>
      <c r="B280" s="441"/>
      <c r="C280" s="14" t="s">
        <v>109</v>
      </c>
      <c r="D280" s="14" t="s">
        <v>110</v>
      </c>
      <c r="E280" s="24">
        <v>17714</v>
      </c>
    </row>
    <row r="281" spans="1:5" ht="14.25" hidden="1" customHeight="1" outlineLevel="1" x14ac:dyDescent="0.25">
      <c r="A281" s="5"/>
      <c r="B281" s="441"/>
      <c r="C281" s="14" t="s">
        <v>111</v>
      </c>
      <c r="D281" s="14" t="s">
        <v>112</v>
      </c>
      <c r="E281" s="24"/>
    </row>
    <row r="282" spans="1:5" ht="13.5" hidden="1" customHeight="1" outlineLevel="1" x14ac:dyDescent="0.25">
      <c r="A282" s="5"/>
      <c r="B282" s="441"/>
      <c r="C282" s="14" t="s">
        <v>113</v>
      </c>
      <c r="D282" s="14" t="s">
        <v>114</v>
      </c>
      <c r="E282" s="24"/>
    </row>
    <row r="283" spans="1:5" ht="13.5" hidden="1" customHeight="1" outlineLevel="1" x14ac:dyDescent="0.25">
      <c r="A283" s="5"/>
      <c r="B283" s="441"/>
      <c r="C283" s="16" t="s">
        <v>115</v>
      </c>
      <c r="D283" s="16" t="s">
        <v>116</v>
      </c>
      <c r="E283" s="17"/>
    </row>
    <row r="284" spans="1:5" ht="13.5" customHeight="1" collapsed="1" x14ac:dyDescent="0.25">
      <c r="A284" s="5"/>
      <c r="B284" s="441" t="s">
        <v>161</v>
      </c>
      <c r="C284" s="444" t="s">
        <v>162</v>
      </c>
      <c r="D284" s="444"/>
      <c r="E284" s="22">
        <v>2866941</v>
      </c>
    </row>
    <row r="285" spans="1:5" ht="13.5" customHeight="1" x14ac:dyDescent="0.25">
      <c r="A285" s="5"/>
      <c r="B285" s="441"/>
      <c r="C285" s="445" t="s">
        <v>100</v>
      </c>
      <c r="D285" s="445"/>
      <c r="E285" s="23">
        <v>1889510</v>
      </c>
    </row>
    <row r="286" spans="1:5" ht="14.25" customHeight="1" x14ac:dyDescent="0.25">
      <c r="A286" s="5"/>
      <c r="B286" s="441"/>
      <c r="C286" s="14" t="s">
        <v>101</v>
      </c>
      <c r="D286" s="14" t="s">
        <v>102</v>
      </c>
      <c r="E286" s="24">
        <v>62857</v>
      </c>
    </row>
    <row r="287" spans="1:5" ht="13.5" customHeight="1" x14ac:dyDescent="0.25">
      <c r="A287" s="5"/>
      <c r="B287" s="441"/>
      <c r="C287" s="14" t="s">
        <v>103</v>
      </c>
      <c r="D287" s="14" t="s">
        <v>104</v>
      </c>
      <c r="E287" s="24">
        <v>1805553</v>
      </c>
    </row>
    <row r="288" spans="1:5" ht="13.5" customHeight="1" collapsed="1" x14ac:dyDescent="0.25">
      <c r="A288" s="5"/>
      <c r="B288" s="441"/>
      <c r="C288" s="14" t="s">
        <v>105</v>
      </c>
      <c r="D288" s="14" t="s">
        <v>106</v>
      </c>
      <c r="E288" s="24">
        <v>21100</v>
      </c>
    </row>
    <row r="289" spans="1:5" ht="13.5" hidden="1" customHeight="1" outlineLevel="1" x14ac:dyDescent="0.25">
      <c r="A289" s="5"/>
      <c r="B289" s="441"/>
      <c r="C289" s="14" t="s">
        <v>107</v>
      </c>
      <c r="D289" s="14" t="s">
        <v>108</v>
      </c>
      <c r="E289" s="24">
        <v>0</v>
      </c>
    </row>
    <row r="290" spans="1:5" ht="13.5" customHeight="1" collapsed="1" x14ac:dyDescent="0.25">
      <c r="A290" s="5"/>
      <c r="B290" s="441"/>
      <c r="C290" s="14" t="s">
        <v>109</v>
      </c>
      <c r="D290" s="14" t="s">
        <v>110</v>
      </c>
      <c r="E290" s="24">
        <v>977431</v>
      </c>
    </row>
    <row r="291" spans="1:5" ht="14.25" hidden="1" customHeight="1" outlineLevel="1" x14ac:dyDescent="0.25">
      <c r="A291" s="5"/>
      <c r="B291" s="441"/>
      <c r="C291" s="14" t="s">
        <v>111</v>
      </c>
      <c r="D291" s="14" t="s">
        <v>112</v>
      </c>
      <c r="E291" s="24">
        <v>0</v>
      </c>
    </row>
    <row r="292" spans="1:5" ht="13.5" hidden="1" customHeight="1" outlineLevel="1" x14ac:dyDescent="0.25">
      <c r="A292" s="5"/>
      <c r="B292" s="441"/>
      <c r="C292" s="14" t="s">
        <v>113</v>
      </c>
      <c r="D292" s="14" t="s">
        <v>114</v>
      </c>
      <c r="E292" s="24">
        <v>0</v>
      </c>
    </row>
    <row r="293" spans="1:5" ht="13.5" hidden="1" customHeight="1" outlineLevel="1" x14ac:dyDescent="0.25">
      <c r="A293" s="5"/>
      <c r="B293" s="441"/>
      <c r="C293" s="16" t="s">
        <v>115</v>
      </c>
      <c r="D293" s="16" t="s">
        <v>116</v>
      </c>
      <c r="E293" s="17">
        <v>0</v>
      </c>
    </row>
    <row r="294" spans="1:5" ht="13.5" customHeight="1" collapsed="1" x14ac:dyDescent="0.25">
      <c r="A294" s="5"/>
      <c r="B294" s="441" t="s">
        <v>163</v>
      </c>
      <c r="C294" s="448" t="s">
        <v>164</v>
      </c>
      <c r="D294" s="448"/>
      <c r="E294" s="25">
        <v>531794</v>
      </c>
    </row>
    <row r="295" spans="1:5" ht="13.5" customHeight="1" collapsed="1" x14ac:dyDescent="0.25">
      <c r="A295" s="5"/>
      <c r="B295" s="441"/>
      <c r="C295" s="449" t="s">
        <v>100</v>
      </c>
      <c r="D295" s="449"/>
      <c r="E295" s="26">
        <v>308545</v>
      </c>
    </row>
    <row r="296" spans="1:5" ht="14.25" hidden="1" customHeight="1" outlineLevel="1" x14ac:dyDescent="0.25">
      <c r="A296" s="5"/>
      <c r="B296" s="441"/>
      <c r="C296" s="14" t="s">
        <v>101</v>
      </c>
      <c r="D296" s="14" t="s">
        <v>102</v>
      </c>
      <c r="E296" s="24"/>
    </row>
    <row r="297" spans="1:5" ht="13.5" customHeight="1" collapsed="1" x14ac:dyDescent="0.25">
      <c r="A297" s="5"/>
      <c r="B297" s="441"/>
      <c r="C297" s="14" t="s">
        <v>103</v>
      </c>
      <c r="D297" s="14" t="s">
        <v>104</v>
      </c>
      <c r="E297" s="24">
        <v>308545</v>
      </c>
    </row>
    <row r="298" spans="1:5" ht="13.5" hidden="1" customHeight="1" outlineLevel="1" x14ac:dyDescent="0.25">
      <c r="A298" s="5"/>
      <c r="B298" s="441"/>
      <c r="C298" s="14" t="s">
        <v>105</v>
      </c>
      <c r="D298" s="14" t="s">
        <v>106</v>
      </c>
      <c r="E298" s="24"/>
    </row>
    <row r="299" spans="1:5" ht="13.5" hidden="1" customHeight="1" outlineLevel="1" x14ac:dyDescent="0.25">
      <c r="A299" s="5"/>
      <c r="B299" s="441"/>
      <c r="C299" s="14" t="s">
        <v>107</v>
      </c>
      <c r="D299" s="14" t="s">
        <v>108</v>
      </c>
      <c r="E299" s="24"/>
    </row>
    <row r="300" spans="1:5" ht="13.5" customHeight="1" collapsed="1" x14ac:dyDescent="0.25">
      <c r="A300" s="5"/>
      <c r="B300" s="441"/>
      <c r="C300" s="14" t="s">
        <v>109</v>
      </c>
      <c r="D300" s="14" t="s">
        <v>110</v>
      </c>
      <c r="E300" s="24">
        <v>223249</v>
      </c>
    </row>
    <row r="301" spans="1:5" ht="14.25" hidden="1" customHeight="1" outlineLevel="1" x14ac:dyDescent="0.25">
      <c r="A301" s="5"/>
      <c r="B301" s="441"/>
      <c r="C301" s="14" t="s">
        <v>111</v>
      </c>
      <c r="D301" s="14" t="s">
        <v>112</v>
      </c>
      <c r="E301" s="24"/>
    </row>
    <row r="302" spans="1:5" ht="13.5" hidden="1" customHeight="1" outlineLevel="1" x14ac:dyDescent="0.25">
      <c r="A302" s="5"/>
      <c r="B302" s="441"/>
      <c r="C302" s="14" t="s">
        <v>113</v>
      </c>
      <c r="D302" s="14" t="s">
        <v>114</v>
      </c>
      <c r="E302" s="24"/>
    </row>
    <row r="303" spans="1:5" ht="13.5" hidden="1" customHeight="1" outlineLevel="1" x14ac:dyDescent="0.25">
      <c r="A303" s="5"/>
      <c r="B303" s="441"/>
      <c r="C303" s="16" t="s">
        <v>115</v>
      </c>
      <c r="D303" s="16" t="s">
        <v>116</v>
      </c>
      <c r="E303" s="17"/>
    </row>
    <row r="304" spans="1:5" ht="13.5" customHeight="1" collapsed="1" x14ac:dyDescent="0.25">
      <c r="A304" s="5"/>
      <c r="B304" s="441" t="s">
        <v>165</v>
      </c>
      <c r="C304" s="448" t="s">
        <v>166</v>
      </c>
      <c r="D304" s="448"/>
      <c r="E304" s="25">
        <v>40650</v>
      </c>
    </row>
    <row r="305" spans="1:5" ht="13.5" customHeight="1" x14ac:dyDescent="0.25">
      <c r="A305" s="5"/>
      <c r="B305" s="441"/>
      <c r="C305" s="449" t="s">
        <v>100</v>
      </c>
      <c r="D305" s="449"/>
      <c r="E305" s="26">
        <v>38650</v>
      </c>
    </row>
    <row r="306" spans="1:5" ht="14.25" customHeight="1" x14ac:dyDescent="0.25">
      <c r="A306" s="5"/>
      <c r="B306" s="441"/>
      <c r="C306" s="14" t="s">
        <v>101</v>
      </c>
      <c r="D306" s="14" t="s">
        <v>102</v>
      </c>
      <c r="E306" s="24">
        <v>20000</v>
      </c>
    </row>
    <row r="307" spans="1:5" ht="13.5" customHeight="1" collapsed="1" x14ac:dyDescent="0.25">
      <c r="A307" s="5"/>
      <c r="B307" s="441"/>
      <c r="C307" s="14" t="s">
        <v>103</v>
      </c>
      <c r="D307" s="14" t="s">
        <v>104</v>
      </c>
      <c r="E307" s="24">
        <v>18650</v>
      </c>
    </row>
    <row r="308" spans="1:5" ht="13.5" hidden="1" customHeight="1" outlineLevel="1" x14ac:dyDescent="0.25">
      <c r="A308" s="5"/>
      <c r="B308" s="441"/>
      <c r="C308" s="14" t="s">
        <v>105</v>
      </c>
      <c r="D308" s="14" t="s">
        <v>106</v>
      </c>
      <c r="E308" s="24"/>
    </row>
    <row r="309" spans="1:5" ht="13.5" hidden="1" customHeight="1" outlineLevel="1" x14ac:dyDescent="0.25">
      <c r="A309" s="5"/>
      <c r="B309" s="441"/>
      <c r="C309" s="14" t="s">
        <v>107</v>
      </c>
      <c r="D309" s="14" t="s">
        <v>108</v>
      </c>
      <c r="E309" s="24"/>
    </row>
    <row r="310" spans="1:5" ht="13.5" customHeight="1" collapsed="1" x14ac:dyDescent="0.25">
      <c r="A310" s="5"/>
      <c r="B310" s="441"/>
      <c r="C310" s="14" t="s">
        <v>109</v>
      </c>
      <c r="D310" s="14" t="s">
        <v>110</v>
      </c>
      <c r="E310" s="24">
        <v>2000</v>
      </c>
    </row>
    <row r="311" spans="1:5" ht="14.25" hidden="1" customHeight="1" outlineLevel="1" x14ac:dyDescent="0.25">
      <c r="A311" s="5"/>
      <c r="B311" s="441"/>
      <c r="C311" s="14" t="s">
        <v>111</v>
      </c>
      <c r="D311" s="14" t="s">
        <v>112</v>
      </c>
      <c r="E311" s="24"/>
    </row>
    <row r="312" spans="1:5" ht="13.5" hidden="1" customHeight="1" outlineLevel="1" x14ac:dyDescent="0.25">
      <c r="A312" s="5"/>
      <c r="B312" s="441"/>
      <c r="C312" s="14" t="s">
        <v>113</v>
      </c>
      <c r="D312" s="14" t="s">
        <v>114</v>
      </c>
      <c r="E312" s="24"/>
    </row>
    <row r="313" spans="1:5" ht="13.5" hidden="1" customHeight="1" outlineLevel="1" x14ac:dyDescent="0.25">
      <c r="A313" s="5"/>
      <c r="B313" s="441"/>
      <c r="C313" s="16" t="s">
        <v>115</v>
      </c>
      <c r="D313" s="16" t="s">
        <v>116</v>
      </c>
      <c r="E313" s="17"/>
    </row>
    <row r="314" spans="1:5" ht="13.5" customHeight="1" collapsed="1" x14ac:dyDescent="0.25">
      <c r="A314" s="5"/>
      <c r="B314" s="441" t="s">
        <v>167</v>
      </c>
      <c r="C314" s="448" t="s">
        <v>168</v>
      </c>
      <c r="D314" s="448"/>
      <c r="E314" s="25">
        <v>2288897</v>
      </c>
    </row>
    <row r="315" spans="1:5" ht="13.5" customHeight="1" x14ac:dyDescent="0.25">
      <c r="A315" s="5"/>
      <c r="B315" s="441"/>
      <c r="C315" s="449" t="s">
        <v>100</v>
      </c>
      <c r="D315" s="449"/>
      <c r="E315" s="26">
        <v>1536715</v>
      </c>
    </row>
    <row r="316" spans="1:5" ht="14.25" customHeight="1" x14ac:dyDescent="0.25">
      <c r="A316" s="5"/>
      <c r="B316" s="441"/>
      <c r="C316" s="14" t="s">
        <v>101</v>
      </c>
      <c r="D316" s="14" t="s">
        <v>102</v>
      </c>
      <c r="E316" s="24">
        <v>42857</v>
      </c>
    </row>
    <row r="317" spans="1:5" ht="13.5" customHeight="1" x14ac:dyDescent="0.25">
      <c r="A317" s="5"/>
      <c r="B317" s="441"/>
      <c r="C317" s="14" t="s">
        <v>103</v>
      </c>
      <c r="D317" s="14" t="s">
        <v>104</v>
      </c>
      <c r="E317" s="24">
        <v>1472758</v>
      </c>
    </row>
    <row r="318" spans="1:5" ht="13.5" customHeight="1" collapsed="1" x14ac:dyDescent="0.25">
      <c r="A318" s="5"/>
      <c r="B318" s="441"/>
      <c r="C318" s="14" t="s">
        <v>105</v>
      </c>
      <c r="D318" s="14" t="s">
        <v>106</v>
      </c>
      <c r="E318" s="24">
        <v>21100</v>
      </c>
    </row>
    <row r="319" spans="1:5" ht="13.5" hidden="1" customHeight="1" outlineLevel="1" x14ac:dyDescent="0.25">
      <c r="A319" s="5"/>
      <c r="B319" s="441"/>
      <c r="C319" s="14" t="s">
        <v>107</v>
      </c>
      <c r="D319" s="14" t="s">
        <v>108</v>
      </c>
      <c r="E319" s="24"/>
    </row>
    <row r="320" spans="1:5" ht="13.5" customHeight="1" collapsed="1" x14ac:dyDescent="0.25">
      <c r="A320" s="5"/>
      <c r="B320" s="441"/>
      <c r="C320" s="14" t="s">
        <v>109</v>
      </c>
      <c r="D320" s="14" t="s">
        <v>110</v>
      </c>
      <c r="E320" s="24">
        <v>752182</v>
      </c>
    </row>
    <row r="321" spans="1:5" ht="14.25" hidden="1" customHeight="1" outlineLevel="1" x14ac:dyDescent="0.25">
      <c r="A321" s="5"/>
      <c r="B321" s="441"/>
      <c r="C321" s="14" t="s">
        <v>111</v>
      </c>
      <c r="D321" s="14" t="s">
        <v>112</v>
      </c>
      <c r="E321" s="24"/>
    </row>
    <row r="322" spans="1:5" ht="13.5" hidden="1" customHeight="1" outlineLevel="1" x14ac:dyDescent="0.25">
      <c r="A322" s="5"/>
      <c r="B322" s="441"/>
      <c r="C322" s="14" t="s">
        <v>113</v>
      </c>
      <c r="D322" s="14" t="s">
        <v>114</v>
      </c>
      <c r="E322" s="24"/>
    </row>
    <row r="323" spans="1:5" ht="13.5" hidden="1" customHeight="1" outlineLevel="1" x14ac:dyDescent="0.25">
      <c r="A323" s="5"/>
      <c r="B323" s="441"/>
      <c r="C323" s="16" t="s">
        <v>115</v>
      </c>
      <c r="D323" s="16" t="s">
        <v>116</v>
      </c>
      <c r="E323" s="17"/>
    </row>
    <row r="324" spans="1:5" ht="13.5" customHeight="1" collapsed="1" x14ac:dyDescent="0.25">
      <c r="A324" s="5"/>
      <c r="B324" s="441" t="s">
        <v>169</v>
      </c>
      <c r="C324" s="448" t="s">
        <v>170</v>
      </c>
      <c r="D324" s="448"/>
      <c r="E324" s="25">
        <v>5600</v>
      </c>
    </row>
    <row r="325" spans="1:5" ht="13.5" customHeight="1" x14ac:dyDescent="0.25">
      <c r="A325" s="5"/>
      <c r="B325" s="441"/>
      <c r="C325" s="449" t="s">
        <v>100</v>
      </c>
      <c r="D325" s="449"/>
      <c r="E325" s="26">
        <v>5600</v>
      </c>
    </row>
    <row r="326" spans="1:5" ht="14.25" customHeight="1" x14ac:dyDescent="0.25">
      <c r="A326" s="5"/>
      <c r="B326" s="441"/>
      <c r="C326" s="14" t="s">
        <v>101</v>
      </c>
      <c r="D326" s="14" t="s">
        <v>102</v>
      </c>
      <c r="E326" s="24">
        <v>0</v>
      </c>
    </row>
    <row r="327" spans="1:5" ht="13.5" customHeight="1" collapsed="1" x14ac:dyDescent="0.25">
      <c r="A327" s="5"/>
      <c r="B327" s="441"/>
      <c r="C327" s="14" t="s">
        <v>103</v>
      </c>
      <c r="D327" s="14" t="s">
        <v>104</v>
      </c>
      <c r="E327" s="24">
        <v>5600</v>
      </c>
    </row>
    <row r="328" spans="1:5" ht="13.5" hidden="1" customHeight="1" outlineLevel="1" x14ac:dyDescent="0.25">
      <c r="A328" s="5"/>
      <c r="B328" s="441"/>
      <c r="C328" s="14" t="s">
        <v>105</v>
      </c>
      <c r="D328" s="14" t="s">
        <v>106</v>
      </c>
      <c r="E328" s="24"/>
    </row>
    <row r="329" spans="1:5" ht="13.5" hidden="1" customHeight="1" outlineLevel="1" x14ac:dyDescent="0.25">
      <c r="A329" s="5"/>
      <c r="B329" s="441"/>
      <c r="C329" s="14" t="s">
        <v>107</v>
      </c>
      <c r="D329" s="14" t="s">
        <v>108</v>
      </c>
      <c r="E329" s="24"/>
    </row>
    <row r="330" spans="1:5" ht="13.5" hidden="1" customHeight="1" outlineLevel="1" x14ac:dyDescent="0.25">
      <c r="A330" s="5"/>
      <c r="B330" s="441"/>
      <c r="C330" s="14" t="s">
        <v>109</v>
      </c>
      <c r="D330" s="14" t="s">
        <v>110</v>
      </c>
      <c r="E330" s="24"/>
    </row>
    <row r="331" spans="1:5" ht="14.25" hidden="1" customHeight="1" outlineLevel="1" x14ac:dyDescent="0.25">
      <c r="A331" s="5"/>
      <c r="B331" s="441"/>
      <c r="C331" s="14" t="s">
        <v>111</v>
      </c>
      <c r="D331" s="14" t="s">
        <v>112</v>
      </c>
      <c r="E331" s="24"/>
    </row>
    <row r="332" spans="1:5" ht="13.5" hidden="1" customHeight="1" outlineLevel="1" x14ac:dyDescent="0.25">
      <c r="A332" s="5"/>
      <c r="B332" s="441"/>
      <c r="C332" s="14" t="s">
        <v>113</v>
      </c>
      <c r="D332" s="14" t="s">
        <v>114</v>
      </c>
      <c r="E332" s="24"/>
    </row>
    <row r="333" spans="1:5" ht="13.5" hidden="1" customHeight="1" outlineLevel="1" x14ac:dyDescent="0.25">
      <c r="A333" s="5"/>
      <c r="B333" s="441"/>
      <c r="C333" s="16" t="s">
        <v>115</v>
      </c>
      <c r="D333" s="16" t="s">
        <v>116</v>
      </c>
      <c r="E333" s="17"/>
    </row>
    <row r="334" spans="1:5" ht="13.5" customHeight="1" collapsed="1" x14ac:dyDescent="0.25">
      <c r="A334" s="5"/>
      <c r="B334" s="441" t="s">
        <v>171</v>
      </c>
      <c r="C334" s="444" t="s">
        <v>172</v>
      </c>
      <c r="D334" s="444"/>
      <c r="E334" s="22">
        <v>21392249</v>
      </c>
    </row>
    <row r="335" spans="1:5" ht="13.5" customHeight="1" x14ac:dyDescent="0.25">
      <c r="A335" s="5"/>
      <c r="B335" s="441"/>
      <c r="C335" s="445" t="s">
        <v>100</v>
      </c>
      <c r="D335" s="445"/>
      <c r="E335" s="23">
        <v>12632165</v>
      </c>
    </row>
    <row r="336" spans="1:5" ht="14.25" customHeight="1" x14ac:dyDescent="0.25">
      <c r="A336" s="5"/>
      <c r="B336" s="441"/>
      <c r="C336" s="14" t="s">
        <v>101</v>
      </c>
      <c r="D336" s="14" t="s">
        <v>102</v>
      </c>
      <c r="E336" s="24">
        <v>4499475</v>
      </c>
    </row>
    <row r="337" spans="1:5" ht="13.5" customHeight="1" x14ac:dyDescent="0.25">
      <c r="A337" s="5"/>
      <c r="B337" s="441"/>
      <c r="C337" s="14" t="s">
        <v>103</v>
      </c>
      <c r="D337" s="14" t="s">
        <v>104</v>
      </c>
      <c r="E337" s="24">
        <v>7073265</v>
      </c>
    </row>
    <row r="338" spans="1:5" ht="13.5" customHeight="1" collapsed="1" x14ac:dyDescent="0.25">
      <c r="A338" s="5"/>
      <c r="B338" s="441"/>
      <c r="C338" s="14" t="s">
        <v>105</v>
      </c>
      <c r="D338" s="14" t="s">
        <v>106</v>
      </c>
      <c r="E338" s="24">
        <v>960724</v>
      </c>
    </row>
    <row r="339" spans="1:5" ht="13.5" hidden="1" customHeight="1" outlineLevel="1" x14ac:dyDescent="0.25">
      <c r="A339" s="5"/>
      <c r="B339" s="441"/>
      <c r="C339" s="14" t="s">
        <v>107</v>
      </c>
      <c r="D339" s="14" t="s">
        <v>108</v>
      </c>
      <c r="E339" s="24">
        <v>0</v>
      </c>
    </row>
    <row r="340" spans="1:5" ht="13.5" customHeight="1" collapsed="1" x14ac:dyDescent="0.25">
      <c r="A340" s="5"/>
      <c r="B340" s="441"/>
      <c r="C340" s="14" t="s">
        <v>109</v>
      </c>
      <c r="D340" s="14" t="s">
        <v>110</v>
      </c>
      <c r="E340" s="24">
        <v>8760084</v>
      </c>
    </row>
    <row r="341" spans="1:5" ht="14.25" customHeight="1" collapsed="1" x14ac:dyDescent="0.25">
      <c r="A341" s="5"/>
      <c r="B341" s="441"/>
      <c r="C341" s="14" t="s">
        <v>111</v>
      </c>
      <c r="D341" s="14" t="s">
        <v>112</v>
      </c>
      <c r="E341" s="24">
        <v>98701</v>
      </c>
    </row>
    <row r="342" spans="1:5" ht="13.5" hidden="1" customHeight="1" outlineLevel="1" x14ac:dyDescent="0.25">
      <c r="A342" s="5"/>
      <c r="B342" s="441"/>
      <c r="C342" s="14" t="s">
        <v>113</v>
      </c>
      <c r="D342" s="14" t="s">
        <v>114</v>
      </c>
      <c r="E342" s="24">
        <v>0</v>
      </c>
    </row>
    <row r="343" spans="1:5" ht="13.5" hidden="1" customHeight="1" outlineLevel="1" x14ac:dyDescent="0.25">
      <c r="A343" s="5"/>
      <c r="B343" s="441"/>
      <c r="C343" s="16" t="s">
        <v>115</v>
      </c>
      <c r="D343" s="16" t="s">
        <v>116</v>
      </c>
      <c r="E343" s="17">
        <v>0</v>
      </c>
    </row>
    <row r="344" spans="1:5" ht="13.5" customHeight="1" collapsed="1" x14ac:dyDescent="0.25">
      <c r="A344" s="5"/>
      <c r="B344" s="441" t="s">
        <v>173</v>
      </c>
      <c r="C344" s="448" t="s">
        <v>174</v>
      </c>
      <c r="D344" s="448"/>
      <c r="E344" s="25">
        <v>1456832</v>
      </c>
    </row>
    <row r="345" spans="1:5" ht="13.5" customHeight="1" x14ac:dyDescent="0.25">
      <c r="A345" s="5"/>
      <c r="B345" s="441"/>
      <c r="C345" s="449" t="s">
        <v>100</v>
      </c>
      <c r="D345" s="449"/>
      <c r="E345" s="26">
        <v>1276775</v>
      </c>
    </row>
    <row r="346" spans="1:5" ht="14.25" customHeight="1" x14ac:dyDescent="0.25">
      <c r="A346" s="5"/>
      <c r="B346" s="441"/>
      <c r="C346" s="14" t="s">
        <v>101</v>
      </c>
      <c r="D346" s="14" t="s">
        <v>102</v>
      </c>
      <c r="E346" s="24">
        <v>2210</v>
      </c>
    </row>
    <row r="347" spans="1:5" ht="13.5" customHeight="1" x14ac:dyDescent="0.25">
      <c r="A347" s="5"/>
      <c r="B347" s="441"/>
      <c r="C347" s="14" t="s">
        <v>103</v>
      </c>
      <c r="D347" s="14" t="s">
        <v>104</v>
      </c>
      <c r="E347" s="24">
        <v>1200542</v>
      </c>
    </row>
    <row r="348" spans="1:5" ht="13.5" customHeight="1" collapsed="1" x14ac:dyDescent="0.25">
      <c r="A348" s="5"/>
      <c r="B348" s="441"/>
      <c r="C348" s="14" t="s">
        <v>105</v>
      </c>
      <c r="D348" s="14" t="s">
        <v>106</v>
      </c>
      <c r="E348" s="24">
        <v>74023</v>
      </c>
    </row>
    <row r="349" spans="1:5" ht="13.5" hidden="1" customHeight="1" outlineLevel="1" x14ac:dyDescent="0.25">
      <c r="A349" s="5"/>
      <c r="B349" s="441"/>
      <c r="C349" s="14" t="s">
        <v>107</v>
      </c>
      <c r="D349" s="14" t="s">
        <v>108</v>
      </c>
      <c r="E349" s="24"/>
    </row>
    <row r="350" spans="1:5" ht="13.5" customHeight="1" collapsed="1" x14ac:dyDescent="0.25">
      <c r="A350" s="5"/>
      <c r="B350" s="441"/>
      <c r="C350" s="14" t="s">
        <v>109</v>
      </c>
      <c r="D350" s="14" t="s">
        <v>110</v>
      </c>
      <c r="E350" s="24">
        <v>180057</v>
      </c>
    </row>
    <row r="351" spans="1:5" ht="14.25" hidden="1" customHeight="1" outlineLevel="1" x14ac:dyDescent="0.25">
      <c r="A351" s="5"/>
      <c r="B351" s="441"/>
      <c r="C351" s="14" t="s">
        <v>111</v>
      </c>
      <c r="D351" s="14" t="s">
        <v>112</v>
      </c>
      <c r="E351" s="24"/>
    </row>
    <row r="352" spans="1:5" ht="13.5" hidden="1" customHeight="1" outlineLevel="1" x14ac:dyDescent="0.25">
      <c r="A352" s="5"/>
      <c r="B352" s="441"/>
      <c r="C352" s="14" t="s">
        <v>113</v>
      </c>
      <c r="D352" s="14" t="s">
        <v>114</v>
      </c>
      <c r="E352" s="24"/>
    </row>
    <row r="353" spans="1:5" ht="13.5" hidden="1" customHeight="1" outlineLevel="1" x14ac:dyDescent="0.25">
      <c r="A353" s="5"/>
      <c r="B353" s="441"/>
      <c r="C353" s="16" t="s">
        <v>115</v>
      </c>
      <c r="D353" s="16" t="s">
        <v>116</v>
      </c>
      <c r="E353" s="17"/>
    </row>
    <row r="354" spans="1:5" ht="13.5" customHeight="1" collapsed="1" x14ac:dyDescent="0.25">
      <c r="A354" s="5"/>
      <c r="B354" s="441" t="s">
        <v>175</v>
      </c>
      <c r="C354" s="448" t="s">
        <v>174</v>
      </c>
      <c r="D354" s="448"/>
      <c r="E354" s="25">
        <v>1577018</v>
      </c>
    </row>
    <row r="355" spans="1:5" ht="13.5" customHeight="1" x14ac:dyDescent="0.25">
      <c r="A355" s="5"/>
      <c r="B355" s="441"/>
      <c r="C355" s="449" t="s">
        <v>100</v>
      </c>
      <c r="D355" s="449"/>
      <c r="E355" s="26">
        <v>1505687</v>
      </c>
    </row>
    <row r="356" spans="1:5" ht="14.25" customHeight="1" x14ac:dyDescent="0.25">
      <c r="A356" s="5"/>
      <c r="B356" s="441"/>
      <c r="C356" s="14" t="s">
        <v>101</v>
      </c>
      <c r="D356" s="14" t="s">
        <v>102</v>
      </c>
      <c r="E356" s="24">
        <v>722030</v>
      </c>
    </row>
    <row r="357" spans="1:5" ht="13.5" customHeight="1" x14ac:dyDescent="0.25">
      <c r="A357" s="5"/>
      <c r="B357" s="441"/>
      <c r="C357" s="14" t="s">
        <v>103</v>
      </c>
      <c r="D357" s="14" t="s">
        <v>104</v>
      </c>
      <c r="E357" s="24">
        <v>562457</v>
      </c>
    </row>
    <row r="358" spans="1:5" ht="13.5" customHeight="1" collapsed="1" x14ac:dyDescent="0.25">
      <c r="A358" s="5"/>
      <c r="B358" s="441"/>
      <c r="C358" s="14" t="s">
        <v>105</v>
      </c>
      <c r="D358" s="14" t="s">
        <v>106</v>
      </c>
      <c r="E358" s="24">
        <v>221200</v>
      </c>
    </row>
    <row r="359" spans="1:5" ht="13.5" hidden="1" customHeight="1" outlineLevel="1" x14ac:dyDescent="0.25">
      <c r="A359" s="5"/>
      <c r="B359" s="441"/>
      <c r="C359" s="14" t="s">
        <v>107</v>
      </c>
      <c r="D359" s="14" t="s">
        <v>108</v>
      </c>
      <c r="E359" s="24"/>
    </row>
    <row r="360" spans="1:5" ht="13.5" customHeight="1" collapsed="1" x14ac:dyDescent="0.25">
      <c r="A360" s="5"/>
      <c r="B360" s="441"/>
      <c r="C360" s="14" t="s">
        <v>109</v>
      </c>
      <c r="D360" s="14" t="s">
        <v>110</v>
      </c>
      <c r="E360" s="24">
        <v>71331</v>
      </c>
    </row>
    <row r="361" spans="1:5" ht="14.25" hidden="1" customHeight="1" outlineLevel="1" x14ac:dyDescent="0.25">
      <c r="A361" s="5"/>
      <c r="B361" s="441"/>
      <c r="C361" s="14" t="s">
        <v>111</v>
      </c>
      <c r="D361" s="14" t="s">
        <v>112</v>
      </c>
      <c r="E361" s="24"/>
    </row>
    <row r="362" spans="1:5" ht="13.5" hidden="1" customHeight="1" outlineLevel="1" x14ac:dyDescent="0.25">
      <c r="A362" s="5"/>
      <c r="B362" s="441"/>
      <c r="C362" s="14" t="s">
        <v>113</v>
      </c>
      <c r="D362" s="14" t="s">
        <v>114</v>
      </c>
      <c r="E362" s="24"/>
    </row>
    <row r="363" spans="1:5" ht="13.5" hidden="1" customHeight="1" outlineLevel="1" x14ac:dyDescent="0.25">
      <c r="A363" s="5"/>
      <c r="B363" s="441"/>
      <c r="C363" s="16" t="s">
        <v>115</v>
      </c>
      <c r="D363" s="16" t="s">
        <v>116</v>
      </c>
      <c r="E363" s="17"/>
    </row>
    <row r="364" spans="1:5" ht="13.5" customHeight="1" collapsed="1" x14ac:dyDescent="0.25">
      <c r="A364" s="5"/>
      <c r="B364" s="441" t="s">
        <v>176</v>
      </c>
      <c r="C364" s="448" t="s">
        <v>177</v>
      </c>
      <c r="D364" s="448"/>
      <c r="E364" s="25">
        <v>229984</v>
      </c>
    </row>
    <row r="365" spans="1:5" ht="13.5" customHeight="1" collapsed="1" x14ac:dyDescent="0.25">
      <c r="A365" s="5"/>
      <c r="B365" s="441"/>
      <c r="C365" s="449" t="s">
        <v>100</v>
      </c>
      <c r="D365" s="449"/>
      <c r="E365" s="26">
        <v>176385</v>
      </c>
    </row>
    <row r="366" spans="1:5" ht="14.25" hidden="1" customHeight="1" outlineLevel="1" x14ac:dyDescent="0.25">
      <c r="A366" s="5"/>
      <c r="B366" s="441"/>
      <c r="C366" s="14" t="s">
        <v>101</v>
      </c>
      <c r="D366" s="14" t="s">
        <v>102</v>
      </c>
      <c r="E366" s="24"/>
    </row>
    <row r="367" spans="1:5" ht="13.5" customHeight="1" collapsed="1" x14ac:dyDescent="0.25">
      <c r="A367" s="5"/>
      <c r="B367" s="441"/>
      <c r="C367" s="14" t="s">
        <v>103</v>
      </c>
      <c r="D367" s="14" t="s">
        <v>104</v>
      </c>
      <c r="E367" s="24">
        <v>176385</v>
      </c>
    </row>
    <row r="368" spans="1:5" ht="13.5" hidden="1" customHeight="1" outlineLevel="1" x14ac:dyDescent="0.25">
      <c r="A368" s="5"/>
      <c r="B368" s="441"/>
      <c r="C368" s="14" t="s">
        <v>105</v>
      </c>
      <c r="D368" s="14" t="s">
        <v>106</v>
      </c>
      <c r="E368" s="24"/>
    </row>
    <row r="369" spans="1:5" ht="13.5" hidden="1" customHeight="1" outlineLevel="1" x14ac:dyDescent="0.25">
      <c r="A369" s="5"/>
      <c r="B369" s="441"/>
      <c r="C369" s="14" t="s">
        <v>107</v>
      </c>
      <c r="D369" s="14" t="s">
        <v>108</v>
      </c>
      <c r="E369" s="24"/>
    </row>
    <row r="370" spans="1:5" ht="13.5" customHeight="1" collapsed="1" x14ac:dyDescent="0.25">
      <c r="A370" s="5"/>
      <c r="B370" s="441"/>
      <c r="C370" s="14" t="s">
        <v>109</v>
      </c>
      <c r="D370" s="14" t="s">
        <v>110</v>
      </c>
      <c r="E370" s="24">
        <v>53599</v>
      </c>
    </row>
    <row r="371" spans="1:5" ht="14.25" hidden="1" customHeight="1" outlineLevel="1" x14ac:dyDescent="0.25">
      <c r="A371" s="5"/>
      <c r="B371" s="441"/>
      <c r="C371" s="14" t="s">
        <v>111</v>
      </c>
      <c r="D371" s="14" t="s">
        <v>112</v>
      </c>
      <c r="E371" s="24"/>
    </row>
    <row r="372" spans="1:5" ht="13.5" hidden="1" customHeight="1" outlineLevel="1" x14ac:dyDescent="0.25">
      <c r="A372" s="5"/>
      <c r="B372" s="441"/>
      <c r="C372" s="14" t="s">
        <v>113</v>
      </c>
      <c r="D372" s="14" t="s">
        <v>114</v>
      </c>
      <c r="E372" s="24"/>
    </row>
    <row r="373" spans="1:5" ht="13.5" hidden="1" customHeight="1" outlineLevel="1" x14ac:dyDescent="0.25">
      <c r="A373" s="5"/>
      <c r="B373" s="441"/>
      <c r="C373" s="16" t="s">
        <v>115</v>
      </c>
      <c r="D373" s="16" t="s">
        <v>116</v>
      </c>
      <c r="E373" s="17"/>
    </row>
    <row r="374" spans="1:5" ht="13.5" customHeight="1" collapsed="1" x14ac:dyDescent="0.25">
      <c r="A374" s="5"/>
      <c r="B374" s="441" t="s">
        <v>178</v>
      </c>
      <c r="C374" s="448" t="s">
        <v>179</v>
      </c>
      <c r="D374" s="448"/>
      <c r="E374" s="25">
        <v>1641703</v>
      </c>
    </row>
    <row r="375" spans="1:5" ht="13.5" customHeight="1" collapsed="1" x14ac:dyDescent="0.25">
      <c r="A375" s="5"/>
      <c r="B375" s="441"/>
      <c r="C375" s="449" t="s">
        <v>100</v>
      </c>
      <c r="D375" s="449"/>
      <c r="E375" s="26">
        <v>655704</v>
      </c>
    </row>
    <row r="376" spans="1:5" ht="14.25" hidden="1" customHeight="1" outlineLevel="1" x14ac:dyDescent="0.25">
      <c r="A376" s="5"/>
      <c r="B376" s="441"/>
      <c r="C376" s="14" t="s">
        <v>101</v>
      </c>
      <c r="D376" s="14" t="s">
        <v>102</v>
      </c>
      <c r="E376" s="24"/>
    </row>
    <row r="377" spans="1:5" ht="13.5" customHeight="1" collapsed="1" x14ac:dyDescent="0.25">
      <c r="A377" s="5"/>
      <c r="B377" s="441"/>
      <c r="C377" s="14" t="s">
        <v>103</v>
      </c>
      <c r="D377" s="14" t="s">
        <v>104</v>
      </c>
      <c r="E377" s="24">
        <v>655704</v>
      </c>
    </row>
    <row r="378" spans="1:5" ht="13.5" hidden="1" customHeight="1" outlineLevel="1" x14ac:dyDescent="0.25">
      <c r="A378" s="5"/>
      <c r="B378" s="441"/>
      <c r="C378" s="14" t="s">
        <v>105</v>
      </c>
      <c r="D378" s="14" t="s">
        <v>106</v>
      </c>
      <c r="E378" s="24"/>
    </row>
    <row r="379" spans="1:5" ht="13.5" hidden="1" customHeight="1" outlineLevel="1" x14ac:dyDescent="0.25">
      <c r="A379" s="5"/>
      <c r="B379" s="441"/>
      <c r="C379" s="14" t="s">
        <v>107</v>
      </c>
      <c r="D379" s="14" t="s">
        <v>108</v>
      </c>
      <c r="E379" s="24"/>
    </row>
    <row r="380" spans="1:5" ht="13.5" customHeight="1" collapsed="1" x14ac:dyDescent="0.25">
      <c r="A380" s="5"/>
      <c r="B380" s="441"/>
      <c r="C380" s="14" t="s">
        <v>109</v>
      </c>
      <c r="D380" s="14" t="s">
        <v>110</v>
      </c>
      <c r="E380" s="24">
        <v>985999</v>
      </c>
    </row>
    <row r="381" spans="1:5" ht="14.25" hidden="1" customHeight="1" outlineLevel="1" x14ac:dyDescent="0.25">
      <c r="A381" s="5"/>
      <c r="B381" s="441"/>
      <c r="C381" s="14" t="s">
        <v>111</v>
      </c>
      <c r="D381" s="14" t="s">
        <v>112</v>
      </c>
      <c r="E381" s="24"/>
    </row>
    <row r="382" spans="1:5" ht="13.5" hidden="1" customHeight="1" outlineLevel="1" x14ac:dyDescent="0.25">
      <c r="A382" s="5"/>
      <c r="B382" s="441"/>
      <c r="C382" s="14" t="s">
        <v>113</v>
      </c>
      <c r="D382" s="14" t="s">
        <v>114</v>
      </c>
      <c r="E382" s="24"/>
    </row>
    <row r="383" spans="1:5" ht="13.5" hidden="1" customHeight="1" outlineLevel="1" x14ac:dyDescent="0.25">
      <c r="A383" s="5"/>
      <c r="B383" s="441"/>
      <c r="C383" s="16" t="s">
        <v>115</v>
      </c>
      <c r="D383" s="16" t="s">
        <v>116</v>
      </c>
      <c r="E383" s="17"/>
    </row>
    <row r="384" spans="1:5" ht="13.5" customHeight="1" collapsed="1" x14ac:dyDescent="0.25">
      <c r="A384" s="5"/>
      <c r="B384" s="441" t="s">
        <v>180</v>
      </c>
      <c r="C384" s="448" t="s">
        <v>181</v>
      </c>
      <c r="D384" s="448"/>
      <c r="E384" s="25">
        <v>16486712</v>
      </c>
    </row>
    <row r="385" spans="1:5" ht="13.5" customHeight="1" x14ac:dyDescent="0.25">
      <c r="A385" s="5"/>
      <c r="B385" s="441"/>
      <c r="C385" s="449" t="s">
        <v>100</v>
      </c>
      <c r="D385" s="449"/>
      <c r="E385" s="26">
        <v>9017614</v>
      </c>
    </row>
    <row r="386" spans="1:5" ht="14.25" customHeight="1" x14ac:dyDescent="0.25">
      <c r="A386" s="5"/>
      <c r="B386" s="441"/>
      <c r="C386" s="14" t="s">
        <v>101</v>
      </c>
      <c r="D386" s="14" t="s">
        <v>102</v>
      </c>
      <c r="E386" s="24">
        <v>3775235</v>
      </c>
    </row>
    <row r="387" spans="1:5" ht="13.5" customHeight="1" x14ac:dyDescent="0.25">
      <c r="A387" s="5"/>
      <c r="B387" s="441"/>
      <c r="C387" s="14" t="s">
        <v>103</v>
      </c>
      <c r="D387" s="14" t="s">
        <v>104</v>
      </c>
      <c r="E387" s="24">
        <v>4478177</v>
      </c>
    </row>
    <row r="388" spans="1:5" ht="13.5" customHeight="1" collapsed="1" x14ac:dyDescent="0.25">
      <c r="A388" s="5"/>
      <c r="B388" s="441"/>
      <c r="C388" s="14" t="s">
        <v>105</v>
      </c>
      <c r="D388" s="14" t="s">
        <v>106</v>
      </c>
      <c r="E388" s="24">
        <v>665501</v>
      </c>
    </row>
    <row r="389" spans="1:5" ht="13.5" hidden="1" customHeight="1" outlineLevel="1" x14ac:dyDescent="0.25">
      <c r="A389" s="5"/>
      <c r="B389" s="441"/>
      <c r="C389" s="14" t="s">
        <v>107</v>
      </c>
      <c r="D389" s="14" t="s">
        <v>108</v>
      </c>
      <c r="E389" s="24"/>
    </row>
    <row r="390" spans="1:5" ht="13.5" customHeight="1" collapsed="1" x14ac:dyDescent="0.25">
      <c r="A390" s="5"/>
      <c r="B390" s="441"/>
      <c r="C390" s="14" t="s">
        <v>109</v>
      </c>
      <c r="D390" s="14" t="s">
        <v>110</v>
      </c>
      <c r="E390" s="24">
        <v>7469098</v>
      </c>
    </row>
    <row r="391" spans="1:5" ht="14.25" customHeight="1" collapsed="1" x14ac:dyDescent="0.25">
      <c r="A391" s="5"/>
      <c r="B391" s="441"/>
      <c r="C391" s="14" t="s">
        <v>111</v>
      </c>
      <c r="D391" s="14" t="s">
        <v>112</v>
      </c>
      <c r="E391" s="24">
        <v>98701</v>
      </c>
    </row>
    <row r="392" spans="1:5" ht="13.5" hidden="1" customHeight="1" outlineLevel="1" x14ac:dyDescent="0.25">
      <c r="A392" s="5"/>
      <c r="B392" s="441"/>
      <c r="C392" s="14" t="s">
        <v>113</v>
      </c>
      <c r="D392" s="14" t="s">
        <v>114</v>
      </c>
      <c r="E392" s="24"/>
    </row>
    <row r="393" spans="1:5" ht="13.5" hidden="1" customHeight="1" outlineLevel="1" x14ac:dyDescent="0.25">
      <c r="A393" s="5"/>
      <c r="B393" s="441"/>
      <c r="C393" s="16" t="s">
        <v>115</v>
      </c>
      <c r="D393" s="16" t="s">
        <v>116</v>
      </c>
      <c r="E393" s="17"/>
    </row>
    <row r="394" spans="1:5" ht="13.5" customHeight="1" collapsed="1" x14ac:dyDescent="0.25">
      <c r="A394" s="5"/>
      <c r="B394" s="441" t="s">
        <v>182</v>
      </c>
      <c r="C394" s="444" t="s">
        <v>183</v>
      </c>
      <c r="D394" s="444"/>
      <c r="E394" s="22">
        <v>345184</v>
      </c>
    </row>
    <row r="395" spans="1:5" ht="13.5" customHeight="1" x14ac:dyDescent="0.25">
      <c r="A395" s="5"/>
      <c r="B395" s="441"/>
      <c r="C395" s="445" t="s">
        <v>100</v>
      </c>
      <c r="D395" s="445"/>
      <c r="E395" s="23">
        <v>343584</v>
      </c>
    </row>
    <row r="396" spans="1:5" ht="14.25" customHeight="1" x14ac:dyDescent="0.25">
      <c r="A396" s="5"/>
      <c r="B396" s="441"/>
      <c r="C396" s="14" t="s">
        <v>101</v>
      </c>
      <c r="D396" s="14" t="s">
        <v>102</v>
      </c>
      <c r="E396" s="24">
        <v>141482</v>
      </c>
    </row>
    <row r="397" spans="1:5" ht="13.5" customHeight="1" x14ac:dyDescent="0.25">
      <c r="A397" s="5"/>
      <c r="B397" s="441"/>
      <c r="C397" s="14" t="s">
        <v>103</v>
      </c>
      <c r="D397" s="14" t="s">
        <v>104</v>
      </c>
      <c r="E397" s="24">
        <v>148841</v>
      </c>
    </row>
    <row r="398" spans="1:5" ht="13.5" customHeight="1" collapsed="1" x14ac:dyDescent="0.25">
      <c r="A398" s="5"/>
      <c r="B398" s="441"/>
      <c r="C398" s="14" t="s">
        <v>105</v>
      </c>
      <c r="D398" s="14" t="s">
        <v>106</v>
      </c>
      <c r="E398" s="24">
        <v>51155</v>
      </c>
    </row>
    <row r="399" spans="1:5" ht="13.5" hidden="1" customHeight="1" outlineLevel="1" x14ac:dyDescent="0.25">
      <c r="A399" s="5"/>
      <c r="B399" s="441"/>
      <c r="C399" s="14" t="s">
        <v>107</v>
      </c>
      <c r="D399" s="14" t="s">
        <v>108</v>
      </c>
      <c r="E399" s="24">
        <v>0</v>
      </c>
    </row>
    <row r="400" spans="1:5" ht="13.5" customHeight="1" collapsed="1" x14ac:dyDescent="0.25">
      <c r="A400" s="5"/>
      <c r="B400" s="441"/>
      <c r="C400" s="14" t="s">
        <v>109</v>
      </c>
      <c r="D400" s="14" t="s">
        <v>110</v>
      </c>
      <c r="E400" s="24">
        <v>1600</v>
      </c>
    </row>
    <row r="401" spans="1:5" ht="14.25" hidden="1" customHeight="1" outlineLevel="1" x14ac:dyDescent="0.25">
      <c r="A401" s="5"/>
      <c r="B401" s="441"/>
      <c r="C401" s="14" t="s">
        <v>111</v>
      </c>
      <c r="D401" s="14" t="s">
        <v>112</v>
      </c>
      <c r="E401" s="24">
        <v>0</v>
      </c>
    </row>
    <row r="402" spans="1:5" ht="13.5" customHeight="1" collapsed="1" x14ac:dyDescent="0.25">
      <c r="A402" s="5"/>
      <c r="B402" s="441"/>
      <c r="C402" s="14" t="s">
        <v>113</v>
      </c>
      <c r="D402" s="14" t="s">
        <v>114</v>
      </c>
      <c r="E402" s="24">
        <v>2106</v>
      </c>
    </row>
    <row r="403" spans="1:5" ht="13.5" hidden="1" customHeight="1" outlineLevel="1" x14ac:dyDescent="0.25">
      <c r="A403" s="5"/>
      <c r="B403" s="441"/>
      <c r="C403" s="16" t="s">
        <v>115</v>
      </c>
      <c r="D403" s="16" t="s">
        <v>116</v>
      </c>
      <c r="E403" s="17">
        <v>0</v>
      </c>
    </row>
    <row r="404" spans="1:5" ht="13.5" customHeight="1" collapsed="1" x14ac:dyDescent="0.25">
      <c r="A404" s="5"/>
      <c r="B404" s="441" t="s">
        <v>184</v>
      </c>
      <c r="C404" s="448" t="s">
        <v>185</v>
      </c>
      <c r="D404" s="448"/>
      <c r="E404" s="25">
        <v>109690</v>
      </c>
    </row>
    <row r="405" spans="1:5" ht="13.5" customHeight="1" x14ac:dyDescent="0.25">
      <c r="A405" s="5"/>
      <c r="B405" s="441"/>
      <c r="C405" s="449" t="s">
        <v>100</v>
      </c>
      <c r="D405" s="449"/>
      <c r="E405" s="26">
        <v>109690</v>
      </c>
    </row>
    <row r="406" spans="1:5" ht="14.25" customHeight="1" x14ac:dyDescent="0.25">
      <c r="A406" s="5"/>
      <c r="B406" s="441"/>
      <c r="C406" s="14" t="s">
        <v>101</v>
      </c>
      <c r="D406" s="14" t="s">
        <v>102</v>
      </c>
      <c r="E406" s="24">
        <v>86962</v>
      </c>
    </row>
    <row r="407" spans="1:5" ht="13.5" customHeight="1" collapsed="1" x14ac:dyDescent="0.25">
      <c r="A407" s="5"/>
      <c r="B407" s="441"/>
      <c r="C407" s="14" t="s">
        <v>103</v>
      </c>
      <c r="D407" s="14" t="s">
        <v>104</v>
      </c>
      <c r="E407" s="24">
        <v>20622</v>
      </c>
    </row>
    <row r="408" spans="1:5" ht="13.5" hidden="1" customHeight="1" outlineLevel="1" x14ac:dyDescent="0.25">
      <c r="A408" s="5"/>
      <c r="B408" s="441"/>
      <c r="C408" s="14" t="s">
        <v>105</v>
      </c>
      <c r="D408" s="14" t="s">
        <v>106</v>
      </c>
      <c r="E408" s="24"/>
    </row>
    <row r="409" spans="1:5" ht="13.5" hidden="1" customHeight="1" outlineLevel="1" x14ac:dyDescent="0.25">
      <c r="A409" s="5"/>
      <c r="B409" s="441"/>
      <c r="C409" s="14" t="s">
        <v>107</v>
      </c>
      <c r="D409" s="14" t="s">
        <v>108</v>
      </c>
      <c r="E409" s="24"/>
    </row>
    <row r="410" spans="1:5" ht="13.5" hidden="1" customHeight="1" outlineLevel="1" x14ac:dyDescent="0.25">
      <c r="A410" s="5"/>
      <c r="B410" s="441"/>
      <c r="C410" s="14" t="s">
        <v>109</v>
      </c>
      <c r="D410" s="14" t="s">
        <v>110</v>
      </c>
      <c r="E410" s="24"/>
    </row>
    <row r="411" spans="1:5" ht="14.25" hidden="1" customHeight="1" outlineLevel="1" x14ac:dyDescent="0.25">
      <c r="A411" s="5"/>
      <c r="B411" s="441"/>
      <c r="C411" s="14" t="s">
        <v>111</v>
      </c>
      <c r="D411" s="14" t="s">
        <v>112</v>
      </c>
      <c r="E411" s="24"/>
    </row>
    <row r="412" spans="1:5" ht="13.5" customHeight="1" collapsed="1" x14ac:dyDescent="0.25">
      <c r="A412" s="5"/>
      <c r="B412" s="441"/>
      <c r="C412" s="14" t="s">
        <v>113</v>
      </c>
      <c r="D412" s="14" t="s">
        <v>114</v>
      </c>
      <c r="E412" s="24">
        <v>2106</v>
      </c>
    </row>
    <row r="413" spans="1:5" ht="13.5" hidden="1" customHeight="1" outlineLevel="1" x14ac:dyDescent="0.25">
      <c r="A413" s="5"/>
      <c r="B413" s="441"/>
      <c r="C413" s="16" t="s">
        <v>115</v>
      </c>
      <c r="D413" s="16" t="s">
        <v>116</v>
      </c>
      <c r="E413" s="17"/>
    </row>
    <row r="414" spans="1:5" ht="13.5" customHeight="1" collapsed="1" x14ac:dyDescent="0.25">
      <c r="A414" s="5"/>
      <c r="B414" s="441" t="s">
        <v>186</v>
      </c>
      <c r="C414" s="448" t="s">
        <v>185</v>
      </c>
      <c r="D414" s="448"/>
      <c r="E414" s="25">
        <v>143044</v>
      </c>
    </row>
    <row r="415" spans="1:5" ht="13.5" customHeight="1" x14ac:dyDescent="0.25">
      <c r="A415" s="5"/>
      <c r="B415" s="441"/>
      <c r="C415" s="449" t="s">
        <v>100</v>
      </c>
      <c r="D415" s="449"/>
      <c r="E415" s="26">
        <v>141444</v>
      </c>
    </row>
    <row r="416" spans="1:5" ht="14.25" customHeight="1" x14ac:dyDescent="0.25">
      <c r="A416" s="5"/>
      <c r="B416" s="441"/>
      <c r="C416" s="14" t="s">
        <v>101</v>
      </c>
      <c r="D416" s="14" t="s">
        <v>102</v>
      </c>
      <c r="E416" s="24">
        <v>19398</v>
      </c>
    </row>
    <row r="417" spans="1:5" ht="13.5" customHeight="1" collapsed="1" x14ac:dyDescent="0.25">
      <c r="A417" s="5"/>
      <c r="B417" s="441"/>
      <c r="C417" s="14" t="s">
        <v>103</v>
      </c>
      <c r="D417" s="14" t="s">
        <v>104</v>
      </c>
      <c r="E417" s="24">
        <v>122046</v>
      </c>
    </row>
    <row r="418" spans="1:5" ht="13.5" hidden="1" customHeight="1" outlineLevel="1" x14ac:dyDescent="0.25">
      <c r="A418" s="5"/>
      <c r="B418" s="441"/>
      <c r="C418" s="14" t="s">
        <v>105</v>
      </c>
      <c r="D418" s="14" t="s">
        <v>106</v>
      </c>
      <c r="E418" s="24"/>
    </row>
    <row r="419" spans="1:5" ht="13.5" hidden="1" customHeight="1" outlineLevel="1" x14ac:dyDescent="0.25">
      <c r="A419" s="5"/>
      <c r="B419" s="441"/>
      <c r="C419" s="14" t="s">
        <v>107</v>
      </c>
      <c r="D419" s="14" t="s">
        <v>108</v>
      </c>
      <c r="E419" s="24"/>
    </row>
    <row r="420" spans="1:5" ht="13.5" customHeight="1" collapsed="1" x14ac:dyDescent="0.25">
      <c r="A420" s="5"/>
      <c r="B420" s="441"/>
      <c r="C420" s="14" t="s">
        <v>109</v>
      </c>
      <c r="D420" s="14" t="s">
        <v>110</v>
      </c>
      <c r="E420" s="24">
        <v>1600</v>
      </c>
    </row>
    <row r="421" spans="1:5" ht="14.25" hidden="1" customHeight="1" outlineLevel="1" x14ac:dyDescent="0.25">
      <c r="A421" s="5"/>
      <c r="B421" s="441"/>
      <c r="C421" s="14" t="s">
        <v>111</v>
      </c>
      <c r="D421" s="14" t="s">
        <v>112</v>
      </c>
      <c r="E421" s="24"/>
    </row>
    <row r="422" spans="1:5" ht="13.5" hidden="1" customHeight="1" outlineLevel="1" x14ac:dyDescent="0.25">
      <c r="A422" s="5"/>
      <c r="B422" s="441"/>
      <c r="C422" s="14" t="s">
        <v>113</v>
      </c>
      <c r="D422" s="14" t="s">
        <v>114</v>
      </c>
      <c r="E422" s="24"/>
    </row>
    <row r="423" spans="1:5" ht="13.5" hidden="1" customHeight="1" outlineLevel="1" x14ac:dyDescent="0.25">
      <c r="A423" s="5"/>
      <c r="B423" s="441"/>
      <c r="C423" s="16" t="s">
        <v>115</v>
      </c>
      <c r="D423" s="16" t="s">
        <v>116</v>
      </c>
      <c r="E423" s="17"/>
    </row>
    <row r="424" spans="1:5" ht="13.5" customHeight="1" collapsed="1" x14ac:dyDescent="0.25">
      <c r="A424" s="5"/>
      <c r="B424" s="441" t="s">
        <v>187</v>
      </c>
      <c r="C424" s="448" t="s">
        <v>188</v>
      </c>
      <c r="D424" s="448"/>
      <c r="E424" s="25">
        <v>92450</v>
      </c>
    </row>
    <row r="425" spans="1:5" ht="13.5" customHeight="1" x14ac:dyDescent="0.25">
      <c r="A425" s="5"/>
      <c r="B425" s="441"/>
      <c r="C425" s="449" t="s">
        <v>100</v>
      </c>
      <c r="D425" s="449"/>
      <c r="E425" s="26">
        <v>92450</v>
      </c>
    </row>
    <row r="426" spans="1:5" ht="14.25" customHeight="1" x14ac:dyDescent="0.25">
      <c r="A426" s="5"/>
      <c r="B426" s="441"/>
      <c r="C426" s="14" t="s">
        <v>101</v>
      </c>
      <c r="D426" s="14" t="s">
        <v>102</v>
      </c>
      <c r="E426" s="24">
        <v>35122</v>
      </c>
    </row>
    <row r="427" spans="1:5" ht="13.5" customHeight="1" x14ac:dyDescent="0.25">
      <c r="A427" s="5"/>
      <c r="B427" s="441"/>
      <c r="C427" s="14" t="s">
        <v>103</v>
      </c>
      <c r="D427" s="14" t="s">
        <v>104</v>
      </c>
      <c r="E427" s="24">
        <v>6173</v>
      </c>
    </row>
    <row r="428" spans="1:5" ht="13.5" customHeight="1" collapsed="1" x14ac:dyDescent="0.25">
      <c r="A428" s="5"/>
      <c r="B428" s="441"/>
      <c r="C428" s="14" t="s">
        <v>105</v>
      </c>
      <c r="D428" s="14" t="s">
        <v>106</v>
      </c>
      <c r="E428" s="24">
        <v>51155</v>
      </c>
    </row>
    <row r="429" spans="1:5" ht="13.5" hidden="1" customHeight="1" outlineLevel="1" x14ac:dyDescent="0.25">
      <c r="A429" s="5"/>
      <c r="B429" s="441"/>
      <c r="C429" s="14" t="s">
        <v>107</v>
      </c>
      <c r="D429" s="14" t="s">
        <v>108</v>
      </c>
      <c r="E429" s="24"/>
    </row>
    <row r="430" spans="1:5" ht="13.5" hidden="1" customHeight="1" outlineLevel="1" x14ac:dyDescent="0.25">
      <c r="A430" s="5"/>
      <c r="B430" s="441"/>
      <c r="C430" s="14" t="s">
        <v>109</v>
      </c>
      <c r="D430" s="14" t="s">
        <v>110</v>
      </c>
      <c r="E430" s="24"/>
    </row>
    <row r="431" spans="1:5" ht="14.25" hidden="1" customHeight="1" outlineLevel="1" x14ac:dyDescent="0.25">
      <c r="A431" s="5"/>
      <c r="B431" s="441"/>
      <c r="C431" s="14" t="s">
        <v>111</v>
      </c>
      <c r="D431" s="14" t="s">
        <v>112</v>
      </c>
      <c r="E431" s="24"/>
    </row>
    <row r="432" spans="1:5" ht="13.5" hidden="1" customHeight="1" outlineLevel="1" x14ac:dyDescent="0.25">
      <c r="A432" s="5"/>
      <c r="B432" s="441"/>
      <c r="C432" s="14" t="s">
        <v>113</v>
      </c>
      <c r="D432" s="14" t="s">
        <v>114</v>
      </c>
      <c r="E432" s="24"/>
    </row>
    <row r="433" spans="1:5" ht="13.5" hidden="1" customHeight="1" outlineLevel="1" x14ac:dyDescent="0.25">
      <c r="A433" s="5"/>
      <c r="B433" s="441"/>
      <c r="C433" s="16" t="s">
        <v>115</v>
      </c>
      <c r="D433" s="16" t="s">
        <v>116</v>
      </c>
      <c r="E433" s="17"/>
    </row>
    <row r="434" spans="1:5" ht="13.5" customHeight="1" collapsed="1" x14ac:dyDescent="0.25">
      <c r="A434" s="5"/>
      <c r="B434" s="441" t="s">
        <v>189</v>
      </c>
      <c r="C434" s="444" t="s">
        <v>190</v>
      </c>
      <c r="D434" s="444"/>
      <c r="E434" s="22">
        <v>11117639</v>
      </c>
    </row>
    <row r="435" spans="1:5" ht="13.5" customHeight="1" x14ac:dyDescent="0.25">
      <c r="A435" s="5"/>
      <c r="B435" s="441"/>
      <c r="C435" s="445" t="s">
        <v>100</v>
      </c>
      <c r="D435" s="445"/>
      <c r="E435" s="23">
        <v>9110749</v>
      </c>
    </row>
    <row r="436" spans="1:5" ht="14.25" customHeight="1" x14ac:dyDescent="0.25">
      <c r="A436" s="5"/>
      <c r="B436" s="441"/>
      <c r="C436" s="14" t="s">
        <v>101</v>
      </c>
      <c r="D436" s="14" t="s">
        <v>102</v>
      </c>
      <c r="E436" s="24">
        <v>3369730</v>
      </c>
    </row>
    <row r="437" spans="1:5" ht="13.5" customHeight="1" x14ac:dyDescent="0.25">
      <c r="A437" s="5"/>
      <c r="B437" s="441"/>
      <c r="C437" s="14" t="s">
        <v>103</v>
      </c>
      <c r="D437" s="14" t="s">
        <v>104</v>
      </c>
      <c r="E437" s="24">
        <v>2860471</v>
      </c>
    </row>
    <row r="438" spans="1:5" ht="13.5" customHeight="1" collapsed="1" x14ac:dyDescent="0.25">
      <c r="A438" s="5"/>
      <c r="B438" s="441"/>
      <c r="C438" s="14" t="s">
        <v>105</v>
      </c>
      <c r="D438" s="14" t="s">
        <v>106</v>
      </c>
      <c r="E438" s="24">
        <v>2730425</v>
      </c>
    </row>
    <row r="439" spans="1:5" ht="13.5" hidden="1" customHeight="1" outlineLevel="1" x14ac:dyDescent="0.25">
      <c r="A439" s="5"/>
      <c r="B439" s="441"/>
      <c r="C439" s="14" t="s">
        <v>107</v>
      </c>
      <c r="D439" s="14" t="s">
        <v>108</v>
      </c>
      <c r="E439" s="24">
        <v>0</v>
      </c>
    </row>
    <row r="440" spans="1:5" ht="13.5" customHeight="1" collapsed="1" x14ac:dyDescent="0.25">
      <c r="A440" s="5"/>
      <c r="B440" s="441"/>
      <c r="C440" s="14" t="s">
        <v>109</v>
      </c>
      <c r="D440" s="14" t="s">
        <v>110</v>
      </c>
      <c r="E440" s="24">
        <v>2006890</v>
      </c>
    </row>
    <row r="441" spans="1:5" ht="14.25" customHeight="1" x14ac:dyDescent="0.25">
      <c r="A441" s="5"/>
      <c r="B441" s="441"/>
      <c r="C441" s="14" t="s">
        <v>111</v>
      </c>
      <c r="D441" s="14" t="s">
        <v>112</v>
      </c>
      <c r="E441" s="24">
        <v>2800</v>
      </c>
    </row>
    <row r="442" spans="1:5" ht="13.5" customHeight="1" collapsed="1" x14ac:dyDescent="0.25">
      <c r="A442" s="5"/>
      <c r="B442" s="441"/>
      <c r="C442" s="14" t="s">
        <v>113</v>
      </c>
      <c r="D442" s="14" t="s">
        <v>114</v>
      </c>
      <c r="E442" s="24">
        <v>147323</v>
      </c>
    </row>
    <row r="443" spans="1:5" ht="13.5" hidden="1" customHeight="1" outlineLevel="1" x14ac:dyDescent="0.25">
      <c r="A443" s="5"/>
      <c r="B443" s="441"/>
      <c r="C443" s="16" t="s">
        <v>115</v>
      </c>
      <c r="D443" s="16" t="s">
        <v>116</v>
      </c>
      <c r="E443" s="17">
        <v>0</v>
      </c>
    </row>
    <row r="444" spans="1:5" ht="13.5" customHeight="1" collapsed="1" x14ac:dyDescent="0.25">
      <c r="A444" s="5"/>
      <c r="B444" s="441" t="s">
        <v>40</v>
      </c>
      <c r="C444" s="448" t="s">
        <v>191</v>
      </c>
      <c r="D444" s="448"/>
      <c r="E444" s="25">
        <v>2572893</v>
      </c>
    </row>
    <row r="445" spans="1:5" ht="13.5" customHeight="1" x14ac:dyDescent="0.25">
      <c r="A445" s="5"/>
      <c r="B445" s="441"/>
      <c r="C445" s="449" t="s">
        <v>100</v>
      </c>
      <c r="D445" s="449"/>
      <c r="E445" s="26">
        <v>2560438</v>
      </c>
    </row>
    <row r="446" spans="1:5" ht="14.25" customHeight="1" x14ac:dyDescent="0.25">
      <c r="A446" s="5"/>
      <c r="B446" s="441"/>
      <c r="C446" s="14" t="s">
        <v>101</v>
      </c>
      <c r="D446" s="14" t="s">
        <v>102</v>
      </c>
      <c r="E446" s="24">
        <v>115383</v>
      </c>
    </row>
    <row r="447" spans="1:5" ht="13.5" customHeight="1" x14ac:dyDescent="0.25">
      <c r="A447" s="5"/>
      <c r="B447" s="441"/>
      <c r="C447" s="14" t="s">
        <v>103</v>
      </c>
      <c r="D447" s="14" t="s">
        <v>104</v>
      </c>
      <c r="E447" s="24">
        <v>145103</v>
      </c>
    </row>
    <row r="448" spans="1:5" ht="13.5" customHeight="1" collapsed="1" x14ac:dyDescent="0.25">
      <c r="A448" s="5"/>
      <c r="B448" s="441"/>
      <c r="C448" s="14" t="s">
        <v>105</v>
      </c>
      <c r="D448" s="14" t="s">
        <v>106</v>
      </c>
      <c r="E448" s="24">
        <v>2298052</v>
      </c>
    </row>
    <row r="449" spans="1:5" ht="13.5" hidden="1" customHeight="1" outlineLevel="1" x14ac:dyDescent="0.25">
      <c r="A449" s="5"/>
      <c r="B449" s="441"/>
      <c r="C449" s="14" t="s">
        <v>107</v>
      </c>
      <c r="D449" s="14" t="s">
        <v>108</v>
      </c>
      <c r="E449" s="24"/>
    </row>
    <row r="450" spans="1:5" ht="13.5" customHeight="1" collapsed="1" x14ac:dyDescent="0.25">
      <c r="A450" s="5"/>
      <c r="B450" s="441"/>
      <c r="C450" s="14" t="s">
        <v>109</v>
      </c>
      <c r="D450" s="14" t="s">
        <v>110</v>
      </c>
      <c r="E450" s="24">
        <v>12455</v>
      </c>
    </row>
    <row r="451" spans="1:5" ht="14.25" customHeight="1" collapsed="1" x14ac:dyDescent="0.25">
      <c r="A451" s="5"/>
      <c r="B451" s="441"/>
      <c r="C451" s="14" t="s">
        <v>111</v>
      </c>
      <c r="D451" s="14" t="s">
        <v>112</v>
      </c>
      <c r="E451" s="24">
        <v>1900</v>
      </c>
    </row>
    <row r="452" spans="1:5" ht="13.5" hidden="1" customHeight="1" outlineLevel="1" x14ac:dyDescent="0.25">
      <c r="A452" s="5"/>
      <c r="B452" s="441"/>
      <c r="C452" s="14" t="s">
        <v>113</v>
      </c>
      <c r="D452" s="14" t="s">
        <v>114</v>
      </c>
      <c r="E452" s="24"/>
    </row>
    <row r="453" spans="1:5" ht="13.5" hidden="1" customHeight="1" outlineLevel="1" x14ac:dyDescent="0.25">
      <c r="A453" s="5"/>
      <c r="B453" s="441"/>
      <c r="C453" s="16" t="s">
        <v>115</v>
      </c>
      <c r="D453" s="16" t="s">
        <v>116</v>
      </c>
      <c r="E453" s="17"/>
    </row>
    <row r="454" spans="1:5" ht="13.5" customHeight="1" collapsed="1" x14ac:dyDescent="0.25">
      <c r="A454" s="5"/>
      <c r="B454" s="441" t="s">
        <v>192</v>
      </c>
      <c r="C454" s="448" t="s">
        <v>193</v>
      </c>
      <c r="D454" s="448"/>
      <c r="E454" s="25">
        <v>8339851</v>
      </c>
    </row>
    <row r="455" spans="1:5" ht="13.5" customHeight="1" x14ac:dyDescent="0.25">
      <c r="A455" s="5"/>
      <c r="B455" s="441"/>
      <c r="C455" s="449" t="s">
        <v>100</v>
      </c>
      <c r="D455" s="449"/>
      <c r="E455" s="26">
        <v>6345416</v>
      </c>
    </row>
    <row r="456" spans="1:5" ht="14.25" customHeight="1" x14ac:dyDescent="0.25">
      <c r="A456" s="5"/>
      <c r="B456" s="441"/>
      <c r="C456" s="14" t="s">
        <v>101</v>
      </c>
      <c r="D456" s="14" t="s">
        <v>102</v>
      </c>
      <c r="E456" s="24">
        <v>3128694</v>
      </c>
    </row>
    <row r="457" spans="1:5" ht="13.5" customHeight="1" x14ac:dyDescent="0.25">
      <c r="A457" s="5"/>
      <c r="B457" s="441"/>
      <c r="C457" s="14" t="s">
        <v>103</v>
      </c>
      <c r="D457" s="14" t="s">
        <v>104</v>
      </c>
      <c r="E457" s="24">
        <v>2711126</v>
      </c>
    </row>
    <row r="458" spans="1:5" ht="13.5" customHeight="1" collapsed="1" x14ac:dyDescent="0.25">
      <c r="A458" s="5"/>
      <c r="B458" s="441"/>
      <c r="C458" s="14" t="s">
        <v>105</v>
      </c>
      <c r="D458" s="14" t="s">
        <v>106</v>
      </c>
      <c r="E458" s="24">
        <v>357373</v>
      </c>
    </row>
    <row r="459" spans="1:5" ht="13.5" hidden="1" customHeight="1" outlineLevel="1" x14ac:dyDescent="0.25">
      <c r="A459" s="5"/>
      <c r="B459" s="441"/>
      <c r="C459" s="14" t="s">
        <v>107</v>
      </c>
      <c r="D459" s="14" t="s">
        <v>108</v>
      </c>
      <c r="E459" s="24"/>
    </row>
    <row r="460" spans="1:5" ht="13.5" customHeight="1" collapsed="1" x14ac:dyDescent="0.25">
      <c r="A460" s="5"/>
      <c r="B460" s="441"/>
      <c r="C460" s="14" t="s">
        <v>109</v>
      </c>
      <c r="D460" s="14" t="s">
        <v>110</v>
      </c>
      <c r="E460" s="24">
        <v>1994435</v>
      </c>
    </row>
    <row r="461" spans="1:5" ht="14.25" customHeight="1" x14ac:dyDescent="0.25">
      <c r="A461" s="5"/>
      <c r="B461" s="441"/>
      <c r="C461" s="14" t="s">
        <v>111</v>
      </c>
      <c r="D461" s="14" t="s">
        <v>112</v>
      </c>
      <c r="E461" s="24">
        <v>900</v>
      </c>
    </row>
    <row r="462" spans="1:5" ht="13.5" customHeight="1" collapsed="1" x14ac:dyDescent="0.25">
      <c r="A462" s="5"/>
      <c r="B462" s="441"/>
      <c r="C462" s="14" t="s">
        <v>113</v>
      </c>
      <c r="D462" s="14" t="s">
        <v>114</v>
      </c>
      <c r="E462" s="24">
        <v>147323</v>
      </c>
    </row>
    <row r="463" spans="1:5" ht="13.5" hidden="1" customHeight="1" outlineLevel="1" x14ac:dyDescent="0.25">
      <c r="A463" s="5"/>
      <c r="B463" s="441"/>
      <c r="C463" s="16" t="s">
        <v>115</v>
      </c>
      <c r="D463" s="16" t="s">
        <v>116</v>
      </c>
      <c r="E463" s="17"/>
    </row>
    <row r="464" spans="1:5" ht="13.5" customHeight="1" collapsed="1" x14ac:dyDescent="0.25">
      <c r="A464" s="5"/>
      <c r="B464" s="453" t="s">
        <v>194</v>
      </c>
      <c r="C464" s="450" t="s">
        <v>195</v>
      </c>
      <c r="D464" s="450"/>
      <c r="E464" s="27">
        <v>1692930</v>
      </c>
    </row>
    <row r="465" spans="1:5" ht="13.5" customHeight="1" x14ac:dyDescent="0.25">
      <c r="A465" s="5"/>
      <c r="B465" s="453"/>
      <c r="C465" s="451" t="s">
        <v>100</v>
      </c>
      <c r="D465" s="451"/>
      <c r="E465" s="28">
        <v>1504460</v>
      </c>
    </row>
    <row r="466" spans="1:5" ht="14.25" customHeight="1" x14ac:dyDescent="0.25">
      <c r="A466" s="5"/>
      <c r="B466" s="453"/>
      <c r="C466" s="14" t="s">
        <v>101</v>
      </c>
      <c r="D466" s="14" t="s">
        <v>102</v>
      </c>
      <c r="E466" s="24">
        <v>996732</v>
      </c>
    </row>
    <row r="467" spans="1:5" ht="13.5" customHeight="1" collapsed="1" x14ac:dyDescent="0.25">
      <c r="A467" s="5"/>
      <c r="B467" s="453"/>
      <c r="C467" s="14" t="s">
        <v>103</v>
      </c>
      <c r="D467" s="14" t="s">
        <v>104</v>
      </c>
      <c r="E467" s="24">
        <v>364134</v>
      </c>
    </row>
    <row r="468" spans="1:5" ht="13.5" hidden="1" customHeight="1" outlineLevel="1" x14ac:dyDescent="0.25">
      <c r="A468" s="5"/>
      <c r="B468" s="453"/>
      <c r="C468" s="14" t="s">
        <v>105</v>
      </c>
      <c r="D468" s="14" t="s">
        <v>106</v>
      </c>
      <c r="E468" s="24"/>
    </row>
    <row r="469" spans="1:5" ht="13.5" hidden="1" customHeight="1" outlineLevel="1" x14ac:dyDescent="0.25">
      <c r="A469" s="5"/>
      <c r="B469" s="453"/>
      <c r="C469" s="14" t="s">
        <v>107</v>
      </c>
      <c r="D469" s="14" t="s">
        <v>108</v>
      </c>
      <c r="E469" s="24"/>
    </row>
    <row r="470" spans="1:5" ht="13.5" customHeight="1" collapsed="1" x14ac:dyDescent="0.25">
      <c r="A470" s="5"/>
      <c r="B470" s="453"/>
      <c r="C470" s="14" t="s">
        <v>109</v>
      </c>
      <c r="D470" s="14" t="s">
        <v>110</v>
      </c>
      <c r="E470" s="24">
        <v>188470</v>
      </c>
    </row>
    <row r="471" spans="1:5" ht="14.25" hidden="1" customHeight="1" outlineLevel="1" x14ac:dyDescent="0.25">
      <c r="A471" s="5"/>
      <c r="B471" s="453"/>
      <c r="C471" s="14" t="s">
        <v>111</v>
      </c>
      <c r="D471" s="14" t="s">
        <v>112</v>
      </c>
      <c r="E471" s="24"/>
    </row>
    <row r="472" spans="1:5" ht="13.5" customHeight="1" collapsed="1" x14ac:dyDescent="0.25">
      <c r="A472" s="5"/>
      <c r="B472" s="453"/>
      <c r="C472" s="14" t="s">
        <v>113</v>
      </c>
      <c r="D472" s="14" t="s">
        <v>114</v>
      </c>
      <c r="E472" s="24">
        <v>143594</v>
      </c>
    </row>
    <row r="473" spans="1:5" ht="13.5" hidden="1" customHeight="1" outlineLevel="1" x14ac:dyDescent="0.25">
      <c r="A473" s="5"/>
      <c r="B473" s="453"/>
      <c r="C473" s="14" t="s">
        <v>115</v>
      </c>
      <c r="D473" s="14" t="s">
        <v>116</v>
      </c>
      <c r="E473" s="24"/>
    </row>
    <row r="474" spans="1:5" ht="13.5" customHeight="1" collapsed="1" x14ac:dyDescent="0.25">
      <c r="A474" s="5"/>
      <c r="B474" s="454" t="s">
        <v>196</v>
      </c>
      <c r="C474" s="451" t="s">
        <v>197</v>
      </c>
      <c r="D474" s="451"/>
      <c r="E474" s="28">
        <v>2308520</v>
      </c>
    </row>
    <row r="475" spans="1:5" ht="13.5" customHeight="1" x14ac:dyDescent="0.25">
      <c r="A475" s="5"/>
      <c r="B475" s="454"/>
      <c r="C475" s="451" t="s">
        <v>100</v>
      </c>
      <c r="D475" s="451"/>
      <c r="E475" s="28">
        <v>562972</v>
      </c>
    </row>
    <row r="476" spans="1:5" ht="14.25" customHeight="1" x14ac:dyDescent="0.25">
      <c r="A476" s="5"/>
      <c r="B476" s="454"/>
      <c r="C476" s="14" t="s">
        <v>101</v>
      </c>
      <c r="D476" s="14" t="s">
        <v>102</v>
      </c>
      <c r="E476" s="24">
        <v>406415</v>
      </c>
    </row>
    <row r="477" spans="1:5" ht="13.5" customHeight="1" collapsed="1" x14ac:dyDescent="0.25">
      <c r="A477" s="5"/>
      <c r="B477" s="454"/>
      <c r="C477" s="14" t="s">
        <v>103</v>
      </c>
      <c r="D477" s="14" t="s">
        <v>104</v>
      </c>
      <c r="E477" s="24">
        <v>156557</v>
      </c>
    </row>
    <row r="478" spans="1:5" ht="13.5" hidden="1" customHeight="1" outlineLevel="1" x14ac:dyDescent="0.25">
      <c r="A478" s="5"/>
      <c r="B478" s="454"/>
      <c r="C478" s="14" t="s">
        <v>105</v>
      </c>
      <c r="D478" s="14" t="s">
        <v>106</v>
      </c>
      <c r="E478" s="24"/>
    </row>
    <row r="479" spans="1:5" ht="13.5" hidden="1" customHeight="1" outlineLevel="1" x14ac:dyDescent="0.25">
      <c r="A479" s="5"/>
      <c r="B479" s="454"/>
      <c r="C479" s="14" t="s">
        <v>107</v>
      </c>
      <c r="D479" s="14" t="s">
        <v>108</v>
      </c>
      <c r="E479" s="24"/>
    </row>
    <row r="480" spans="1:5" ht="13.5" customHeight="1" collapsed="1" x14ac:dyDescent="0.25">
      <c r="A480" s="5"/>
      <c r="B480" s="454"/>
      <c r="C480" s="14" t="s">
        <v>109</v>
      </c>
      <c r="D480" s="14" t="s">
        <v>110</v>
      </c>
      <c r="E480" s="24">
        <v>1745548</v>
      </c>
    </row>
    <row r="481" spans="1:5" ht="14.25" hidden="1" customHeight="1" outlineLevel="1" x14ac:dyDescent="0.25">
      <c r="A481" s="5"/>
      <c r="B481" s="454"/>
      <c r="C481" s="14" t="s">
        <v>111</v>
      </c>
      <c r="D481" s="14" t="s">
        <v>112</v>
      </c>
      <c r="E481" s="24"/>
    </row>
    <row r="482" spans="1:5" ht="13.5" hidden="1" customHeight="1" outlineLevel="1" x14ac:dyDescent="0.25">
      <c r="A482" s="5"/>
      <c r="B482" s="454"/>
      <c r="C482" s="14" t="s">
        <v>113</v>
      </c>
      <c r="D482" s="14" t="s">
        <v>114</v>
      </c>
      <c r="E482" s="24"/>
    </row>
    <row r="483" spans="1:5" ht="13.5" hidden="1" customHeight="1" outlineLevel="1" x14ac:dyDescent="0.25">
      <c r="A483" s="5"/>
      <c r="B483" s="454"/>
      <c r="C483" s="14" t="s">
        <v>115</v>
      </c>
      <c r="D483" s="14" t="s">
        <v>116</v>
      </c>
      <c r="E483" s="24"/>
    </row>
    <row r="484" spans="1:5" ht="13.5" customHeight="1" collapsed="1" x14ac:dyDescent="0.25">
      <c r="A484" s="5"/>
      <c r="B484" s="454" t="s">
        <v>198</v>
      </c>
      <c r="C484" s="451" t="s">
        <v>199</v>
      </c>
      <c r="D484" s="451"/>
      <c r="E484" s="28">
        <v>3290422</v>
      </c>
    </row>
    <row r="485" spans="1:5" ht="13.5" customHeight="1" x14ac:dyDescent="0.25">
      <c r="A485" s="5"/>
      <c r="B485" s="454"/>
      <c r="C485" s="451" t="s">
        <v>100</v>
      </c>
      <c r="D485" s="451"/>
      <c r="E485" s="28">
        <v>3230005</v>
      </c>
    </row>
    <row r="486" spans="1:5" ht="14.25" customHeight="1" x14ac:dyDescent="0.25">
      <c r="A486" s="5"/>
      <c r="B486" s="454"/>
      <c r="C486" s="14" t="s">
        <v>101</v>
      </c>
      <c r="D486" s="14" t="s">
        <v>102</v>
      </c>
      <c r="E486" s="24">
        <v>1692998</v>
      </c>
    </row>
    <row r="487" spans="1:5" ht="13.5" customHeight="1" collapsed="1" x14ac:dyDescent="0.25">
      <c r="A487" s="5"/>
      <c r="B487" s="454"/>
      <c r="C487" s="14" t="s">
        <v>103</v>
      </c>
      <c r="D487" s="14" t="s">
        <v>104</v>
      </c>
      <c r="E487" s="24">
        <v>1532378</v>
      </c>
    </row>
    <row r="488" spans="1:5" ht="13.5" hidden="1" customHeight="1" outlineLevel="1" x14ac:dyDescent="0.25">
      <c r="A488" s="5"/>
      <c r="B488" s="454"/>
      <c r="C488" s="14" t="s">
        <v>105</v>
      </c>
      <c r="D488" s="14" t="s">
        <v>106</v>
      </c>
      <c r="E488" s="24"/>
    </row>
    <row r="489" spans="1:5" ht="13.5" hidden="1" customHeight="1" outlineLevel="1" x14ac:dyDescent="0.25">
      <c r="A489" s="5"/>
      <c r="B489" s="454"/>
      <c r="C489" s="14" t="s">
        <v>107</v>
      </c>
      <c r="D489" s="14" t="s">
        <v>108</v>
      </c>
      <c r="E489" s="24"/>
    </row>
    <row r="490" spans="1:5" ht="13.5" customHeight="1" collapsed="1" x14ac:dyDescent="0.25">
      <c r="A490" s="5"/>
      <c r="B490" s="454"/>
      <c r="C490" s="14" t="s">
        <v>109</v>
      </c>
      <c r="D490" s="14" t="s">
        <v>110</v>
      </c>
      <c r="E490" s="24">
        <v>60417</v>
      </c>
    </row>
    <row r="491" spans="1:5" ht="14.25" customHeight="1" x14ac:dyDescent="0.25">
      <c r="A491" s="5"/>
      <c r="B491" s="454"/>
      <c r="C491" s="14" t="s">
        <v>111</v>
      </c>
      <c r="D491" s="14" t="s">
        <v>112</v>
      </c>
      <c r="E491" s="24">
        <v>900</v>
      </c>
    </row>
    <row r="492" spans="1:5" ht="13.5" customHeight="1" collapsed="1" x14ac:dyDescent="0.25">
      <c r="A492" s="5"/>
      <c r="B492" s="454"/>
      <c r="C492" s="14" t="s">
        <v>113</v>
      </c>
      <c r="D492" s="14" t="s">
        <v>114</v>
      </c>
      <c r="E492" s="24">
        <v>3729</v>
      </c>
    </row>
    <row r="493" spans="1:5" ht="13.5" hidden="1" customHeight="1" outlineLevel="1" x14ac:dyDescent="0.25">
      <c r="A493" s="5"/>
      <c r="B493" s="454"/>
      <c r="C493" s="14" t="s">
        <v>115</v>
      </c>
      <c r="D493" s="14" t="s">
        <v>116</v>
      </c>
      <c r="E493" s="24"/>
    </row>
    <row r="494" spans="1:5" ht="13.5" customHeight="1" collapsed="1" x14ac:dyDescent="0.25">
      <c r="A494" s="5"/>
      <c r="B494" s="454" t="s">
        <v>200</v>
      </c>
      <c r="C494" s="451" t="s">
        <v>201</v>
      </c>
      <c r="D494" s="451"/>
      <c r="E494" s="28">
        <v>122000</v>
      </c>
    </row>
    <row r="495" spans="1:5" ht="13.5" customHeight="1" collapsed="1" x14ac:dyDescent="0.25">
      <c r="A495" s="5"/>
      <c r="B495" s="454"/>
      <c r="C495" s="451" t="s">
        <v>100</v>
      </c>
      <c r="D495" s="451"/>
      <c r="E495" s="28">
        <v>122000</v>
      </c>
    </row>
    <row r="496" spans="1:5" ht="14.25" hidden="1" customHeight="1" outlineLevel="1" x14ac:dyDescent="0.25">
      <c r="A496" s="5"/>
      <c r="B496" s="454"/>
      <c r="C496" s="14" t="s">
        <v>101</v>
      </c>
      <c r="D496" s="14" t="s">
        <v>102</v>
      </c>
      <c r="E496" s="24"/>
    </row>
    <row r="497" spans="1:5" ht="13.5" hidden="1" customHeight="1" outlineLevel="1" x14ac:dyDescent="0.25">
      <c r="A497" s="5"/>
      <c r="B497" s="454"/>
      <c r="C497" s="14" t="s">
        <v>103</v>
      </c>
      <c r="D497" s="14" t="s">
        <v>104</v>
      </c>
      <c r="E497" s="24"/>
    </row>
    <row r="498" spans="1:5" ht="13.5" customHeight="1" collapsed="1" x14ac:dyDescent="0.25">
      <c r="A498" s="5"/>
      <c r="B498" s="454"/>
      <c r="C498" s="14" t="s">
        <v>105</v>
      </c>
      <c r="D498" s="14" t="s">
        <v>106</v>
      </c>
      <c r="E498" s="24">
        <v>122000</v>
      </c>
    </row>
    <row r="499" spans="1:5" ht="13.5" hidden="1" customHeight="1" outlineLevel="1" x14ac:dyDescent="0.25">
      <c r="A499" s="5"/>
      <c r="B499" s="454"/>
      <c r="C499" s="14" t="s">
        <v>107</v>
      </c>
      <c r="D499" s="14" t="s">
        <v>108</v>
      </c>
      <c r="E499" s="24"/>
    </row>
    <row r="500" spans="1:5" ht="13.5" hidden="1" customHeight="1" outlineLevel="1" x14ac:dyDescent="0.25">
      <c r="A500" s="5"/>
      <c r="B500" s="454"/>
      <c r="C500" s="14" t="s">
        <v>109</v>
      </c>
      <c r="D500" s="14" t="s">
        <v>110</v>
      </c>
      <c r="E500" s="24"/>
    </row>
    <row r="501" spans="1:5" ht="14.25" hidden="1" customHeight="1" outlineLevel="1" x14ac:dyDescent="0.25">
      <c r="A501" s="5"/>
      <c r="B501" s="454"/>
      <c r="C501" s="14" t="s">
        <v>111</v>
      </c>
      <c r="D501" s="14" t="s">
        <v>112</v>
      </c>
      <c r="E501" s="24"/>
    </row>
    <row r="502" spans="1:5" ht="13.5" hidden="1" customHeight="1" outlineLevel="1" x14ac:dyDescent="0.25">
      <c r="A502" s="5"/>
      <c r="B502" s="454"/>
      <c r="C502" s="14" t="s">
        <v>113</v>
      </c>
      <c r="D502" s="14" t="s">
        <v>114</v>
      </c>
      <c r="E502" s="24"/>
    </row>
    <row r="503" spans="1:5" ht="13.5" hidden="1" customHeight="1" outlineLevel="1" x14ac:dyDescent="0.25">
      <c r="A503" s="5"/>
      <c r="B503" s="454"/>
      <c r="C503" s="14" t="s">
        <v>115</v>
      </c>
      <c r="D503" s="14" t="s">
        <v>116</v>
      </c>
      <c r="E503" s="24"/>
    </row>
    <row r="504" spans="1:5" ht="13.5" customHeight="1" collapsed="1" x14ac:dyDescent="0.25">
      <c r="A504" s="5"/>
      <c r="B504" s="452" t="s">
        <v>202</v>
      </c>
      <c r="C504" s="451" t="s">
        <v>203</v>
      </c>
      <c r="D504" s="451"/>
      <c r="E504" s="28">
        <v>925979</v>
      </c>
    </row>
    <row r="505" spans="1:5" ht="13.5" customHeight="1" x14ac:dyDescent="0.25">
      <c r="A505" s="5"/>
      <c r="B505" s="452"/>
      <c r="C505" s="451" t="s">
        <v>100</v>
      </c>
      <c r="D505" s="451"/>
      <c r="E505" s="28">
        <v>925979</v>
      </c>
    </row>
    <row r="506" spans="1:5" ht="14.25" customHeight="1" x14ac:dyDescent="0.25">
      <c r="A506" s="5"/>
      <c r="B506" s="452"/>
      <c r="C506" s="14" t="s">
        <v>101</v>
      </c>
      <c r="D506" s="14" t="s">
        <v>102</v>
      </c>
      <c r="E506" s="24">
        <v>32549</v>
      </c>
    </row>
    <row r="507" spans="1:5" ht="13.5" customHeight="1" x14ac:dyDescent="0.25">
      <c r="A507" s="5"/>
      <c r="B507" s="452"/>
      <c r="C507" s="14" t="s">
        <v>103</v>
      </c>
      <c r="D507" s="14" t="s">
        <v>104</v>
      </c>
      <c r="E507" s="24">
        <v>658057</v>
      </c>
    </row>
    <row r="508" spans="1:5" ht="13.5" customHeight="1" collapsed="1" x14ac:dyDescent="0.25">
      <c r="A508" s="5"/>
      <c r="B508" s="452"/>
      <c r="C508" s="14" t="s">
        <v>105</v>
      </c>
      <c r="D508" s="14" t="s">
        <v>106</v>
      </c>
      <c r="E508" s="24">
        <v>235373</v>
      </c>
    </row>
    <row r="509" spans="1:5" ht="13.5" hidden="1" customHeight="1" outlineLevel="1" x14ac:dyDescent="0.25">
      <c r="A509" s="5"/>
      <c r="B509" s="452"/>
      <c r="C509" s="14" t="s">
        <v>107</v>
      </c>
      <c r="D509" s="14" t="s">
        <v>108</v>
      </c>
      <c r="E509" s="24"/>
    </row>
    <row r="510" spans="1:5" ht="13.5" hidden="1" customHeight="1" outlineLevel="1" x14ac:dyDescent="0.25">
      <c r="A510" s="5"/>
      <c r="B510" s="452"/>
      <c r="C510" s="14" t="s">
        <v>109</v>
      </c>
      <c r="D510" s="14" t="s">
        <v>110</v>
      </c>
      <c r="E510" s="24"/>
    </row>
    <row r="511" spans="1:5" ht="14.25" hidden="1" customHeight="1" outlineLevel="1" x14ac:dyDescent="0.25">
      <c r="A511" s="5"/>
      <c r="B511" s="452"/>
      <c r="C511" s="14" t="s">
        <v>111</v>
      </c>
      <c r="D511" s="14" t="s">
        <v>112</v>
      </c>
      <c r="E511" s="24"/>
    </row>
    <row r="512" spans="1:5" ht="13.5" hidden="1" customHeight="1" outlineLevel="1" x14ac:dyDescent="0.25">
      <c r="A512" s="5"/>
      <c r="B512" s="452"/>
      <c r="C512" s="14" t="s">
        <v>113</v>
      </c>
      <c r="D512" s="14" t="s">
        <v>114</v>
      </c>
      <c r="E512" s="24"/>
    </row>
    <row r="513" spans="1:5" ht="13.5" hidden="1" customHeight="1" outlineLevel="1" x14ac:dyDescent="0.25">
      <c r="A513" s="5"/>
      <c r="B513" s="452"/>
      <c r="C513" s="16" t="s">
        <v>115</v>
      </c>
      <c r="D513" s="16" t="s">
        <v>116</v>
      </c>
      <c r="E513" s="17"/>
    </row>
    <row r="514" spans="1:5" ht="13.5" customHeight="1" collapsed="1" x14ac:dyDescent="0.25">
      <c r="A514" s="5"/>
      <c r="B514" s="441" t="s">
        <v>204</v>
      </c>
      <c r="C514" s="448" t="s">
        <v>205</v>
      </c>
      <c r="D514" s="448"/>
      <c r="E514" s="25">
        <v>75000</v>
      </c>
    </row>
    <row r="515" spans="1:5" ht="13.5" customHeight="1" collapsed="1" x14ac:dyDescent="0.25">
      <c r="A515" s="5"/>
      <c r="B515" s="441"/>
      <c r="C515" s="449" t="s">
        <v>100</v>
      </c>
      <c r="D515" s="449"/>
      <c r="E515" s="26">
        <v>75000</v>
      </c>
    </row>
    <row r="516" spans="1:5" ht="14.25" hidden="1" customHeight="1" outlineLevel="1" x14ac:dyDescent="0.25">
      <c r="A516" s="5"/>
      <c r="B516" s="441"/>
      <c r="C516" s="14" t="s">
        <v>101</v>
      </c>
      <c r="D516" s="14" t="s">
        <v>102</v>
      </c>
      <c r="E516" s="24"/>
    </row>
    <row r="517" spans="1:5" ht="13.5" hidden="1" customHeight="1" outlineLevel="1" x14ac:dyDescent="0.25">
      <c r="A517" s="5"/>
      <c r="B517" s="441"/>
      <c r="C517" s="14" t="s">
        <v>103</v>
      </c>
      <c r="D517" s="14" t="s">
        <v>104</v>
      </c>
      <c r="E517" s="24"/>
    </row>
    <row r="518" spans="1:5" ht="13.5" customHeight="1" collapsed="1" x14ac:dyDescent="0.25">
      <c r="A518" s="5"/>
      <c r="B518" s="441"/>
      <c r="C518" s="14" t="s">
        <v>105</v>
      </c>
      <c r="D518" s="14" t="s">
        <v>106</v>
      </c>
      <c r="E518" s="24">
        <v>75000</v>
      </c>
    </row>
    <row r="519" spans="1:5" ht="13.5" hidden="1" customHeight="1" outlineLevel="1" x14ac:dyDescent="0.25">
      <c r="A519" s="5"/>
      <c r="B519" s="441"/>
      <c r="C519" s="14" t="s">
        <v>107</v>
      </c>
      <c r="D519" s="14" t="s">
        <v>108</v>
      </c>
      <c r="E519" s="24"/>
    </row>
    <row r="520" spans="1:5" ht="13.5" hidden="1" customHeight="1" outlineLevel="1" x14ac:dyDescent="0.25">
      <c r="A520" s="5"/>
      <c r="B520" s="441"/>
      <c r="C520" s="14" t="s">
        <v>109</v>
      </c>
      <c r="D520" s="14" t="s">
        <v>110</v>
      </c>
      <c r="E520" s="24"/>
    </row>
    <row r="521" spans="1:5" ht="14.25" hidden="1" customHeight="1" outlineLevel="1" x14ac:dyDescent="0.25">
      <c r="A521" s="5"/>
      <c r="B521" s="441"/>
      <c r="C521" s="14" t="s">
        <v>111</v>
      </c>
      <c r="D521" s="14" t="s">
        <v>112</v>
      </c>
      <c r="E521" s="24"/>
    </row>
    <row r="522" spans="1:5" ht="13.5" hidden="1" customHeight="1" outlineLevel="1" x14ac:dyDescent="0.25">
      <c r="A522" s="5"/>
      <c r="B522" s="441"/>
      <c r="C522" s="14" t="s">
        <v>113</v>
      </c>
      <c r="D522" s="14" t="s">
        <v>114</v>
      </c>
      <c r="E522" s="24"/>
    </row>
    <row r="523" spans="1:5" ht="13.5" hidden="1" customHeight="1" outlineLevel="1" x14ac:dyDescent="0.25">
      <c r="A523" s="5"/>
      <c r="B523" s="441"/>
      <c r="C523" s="16" t="s">
        <v>115</v>
      </c>
      <c r="D523" s="16" t="s">
        <v>116</v>
      </c>
      <c r="E523" s="17"/>
    </row>
    <row r="524" spans="1:5" ht="13.5" customHeight="1" collapsed="1" x14ac:dyDescent="0.25">
      <c r="A524" s="5"/>
      <c r="B524" s="441" t="s">
        <v>44</v>
      </c>
      <c r="C524" s="448" t="s">
        <v>206</v>
      </c>
      <c r="D524" s="448"/>
      <c r="E524" s="25">
        <v>129895</v>
      </c>
    </row>
    <row r="525" spans="1:5" ht="13.5" customHeight="1" x14ac:dyDescent="0.25">
      <c r="A525" s="5"/>
      <c r="B525" s="441"/>
      <c r="C525" s="449" t="s">
        <v>100</v>
      </c>
      <c r="D525" s="449"/>
      <c r="E525" s="26">
        <v>129895</v>
      </c>
    </row>
    <row r="526" spans="1:5" ht="14.25" customHeight="1" x14ac:dyDescent="0.25">
      <c r="A526" s="5"/>
      <c r="B526" s="441"/>
      <c r="C526" s="14" t="s">
        <v>101</v>
      </c>
      <c r="D526" s="14" t="s">
        <v>102</v>
      </c>
      <c r="E526" s="24">
        <v>125653</v>
      </c>
    </row>
    <row r="527" spans="1:5" ht="13.5" customHeight="1" collapsed="1" x14ac:dyDescent="0.25">
      <c r="A527" s="5"/>
      <c r="B527" s="441"/>
      <c r="C527" s="14" t="s">
        <v>103</v>
      </c>
      <c r="D527" s="14" t="s">
        <v>104</v>
      </c>
      <c r="E527" s="24">
        <v>4242</v>
      </c>
    </row>
    <row r="528" spans="1:5" ht="13.5" hidden="1" customHeight="1" outlineLevel="1" x14ac:dyDescent="0.25">
      <c r="A528" s="5"/>
      <c r="B528" s="441"/>
      <c r="C528" s="14" t="s">
        <v>105</v>
      </c>
      <c r="D528" s="14" t="s">
        <v>106</v>
      </c>
      <c r="E528" s="24"/>
    </row>
    <row r="529" spans="1:5" ht="13.5" hidden="1" customHeight="1" outlineLevel="1" x14ac:dyDescent="0.25">
      <c r="A529" s="5"/>
      <c r="B529" s="441"/>
      <c r="C529" s="14" t="s">
        <v>107</v>
      </c>
      <c r="D529" s="14" t="s">
        <v>108</v>
      </c>
      <c r="E529" s="24"/>
    </row>
    <row r="530" spans="1:5" ht="13.5" hidden="1" customHeight="1" outlineLevel="1" x14ac:dyDescent="0.25">
      <c r="A530" s="5"/>
      <c r="B530" s="441"/>
      <c r="C530" s="14" t="s">
        <v>109</v>
      </c>
      <c r="D530" s="14" t="s">
        <v>110</v>
      </c>
      <c r="E530" s="24"/>
    </row>
    <row r="531" spans="1:5" ht="14.25" hidden="1" customHeight="1" outlineLevel="1" x14ac:dyDescent="0.25">
      <c r="A531" s="5"/>
      <c r="B531" s="441"/>
      <c r="C531" s="14" t="s">
        <v>111</v>
      </c>
      <c r="D531" s="14" t="s">
        <v>112</v>
      </c>
      <c r="E531" s="24"/>
    </row>
    <row r="532" spans="1:5" ht="13.5" hidden="1" customHeight="1" outlineLevel="1" x14ac:dyDescent="0.25">
      <c r="A532" s="5"/>
      <c r="B532" s="441"/>
      <c r="C532" s="14" t="s">
        <v>113</v>
      </c>
      <c r="D532" s="14" t="s">
        <v>114</v>
      </c>
      <c r="E532" s="24"/>
    </row>
    <row r="533" spans="1:5" ht="13.5" hidden="1" customHeight="1" outlineLevel="1" x14ac:dyDescent="0.25">
      <c r="A533" s="5"/>
      <c r="B533" s="441"/>
      <c r="C533" s="16" t="s">
        <v>115</v>
      </c>
      <c r="D533" s="16" t="s">
        <v>116</v>
      </c>
      <c r="E533" s="17"/>
    </row>
    <row r="534" spans="1:5" ht="13.5" customHeight="1" collapsed="1" x14ac:dyDescent="0.25">
      <c r="A534" s="5"/>
      <c r="B534" s="441" t="s">
        <v>207</v>
      </c>
      <c r="C534" s="444" t="s">
        <v>208</v>
      </c>
      <c r="D534" s="444"/>
      <c r="E534" s="22">
        <v>60030021</v>
      </c>
    </row>
    <row r="535" spans="1:5" ht="13.5" customHeight="1" x14ac:dyDescent="0.25">
      <c r="A535" s="5"/>
      <c r="B535" s="441"/>
      <c r="C535" s="445" t="s">
        <v>100</v>
      </c>
      <c r="D535" s="445"/>
      <c r="E535" s="23">
        <v>53354208</v>
      </c>
    </row>
    <row r="536" spans="1:5" ht="14.25" customHeight="1" x14ac:dyDescent="0.25">
      <c r="A536" s="5"/>
      <c r="B536" s="441"/>
      <c r="C536" s="14" t="s">
        <v>101</v>
      </c>
      <c r="D536" s="14" t="s">
        <v>102</v>
      </c>
      <c r="E536" s="24">
        <v>38702887</v>
      </c>
    </row>
    <row r="537" spans="1:5" ht="13.5" customHeight="1" x14ac:dyDescent="0.25">
      <c r="A537" s="5"/>
      <c r="B537" s="441"/>
      <c r="C537" s="14" t="s">
        <v>103</v>
      </c>
      <c r="D537" s="14" t="s">
        <v>104</v>
      </c>
      <c r="E537" s="24">
        <v>13077606</v>
      </c>
    </row>
    <row r="538" spans="1:5" ht="13.5" customHeight="1" collapsed="1" x14ac:dyDescent="0.25">
      <c r="A538" s="5"/>
      <c r="B538" s="441"/>
      <c r="C538" s="14" t="s">
        <v>105</v>
      </c>
      <c r="D538" s="14" t="s">
        <v>106</v>
      </c>
      <c r="E538" s="24">
        <v>937037</v>
      </c>
    </row>
    <row r="539" spans="1:5" ht="13.5" hidden="1" customHeight="1" outlineLevel="1" x14ac:dyDescent="0.25">
      <c r="A539" s="5"/>
      <c r="B539" s="441"/>
      <c r="C539" s="14" t="s">
        <v>107</v>
      </c>
      <c r="D539" s="14" t="s">
        <v>108</v>
      </c>
      <c r="E539" s="24">
        <v>0</v>
      </c>
    </row>
    <row r="540" spans="1:5" ht="13.5" customHeight="1" collapsed="1" x14ac:dyDescent="0.25">
      <c r="A540" s="5"/>
      <c r="B540" s="441"/>
      <c r="C540" s="14" t="s">
        <v>109</v>
      </c>
      <c r="D540" s="14" t="s">
        <v>110</v>
      </c>
      <c r="E540" s="24">
        <v>6675742</v>
      </c>
    </row>
    <row r="541" spans="1:5" ht="14.25" customHeight="1" x14ac:dyDescent="0.25">
      <c r="A541" s="5"/>
      <c r="B541" s="441"/>
      <c r="C541" s="14" t="s">
        <v>111</v>
      </c>
      <c r="D541" s="14" t="s">
        <v>112</v>
      </c>
      <c r="E541" s="24">
        <v>127164</v>
      </c>
    </row>
    <row r="542" spans="1:5" ht="13.5" customHeight="1" x14ac:dyDescent="0.25">
      <c r="A542" s="5"/>
      <c r="B542" s="441"/>
      <c r="C542" s="14" t="s">
        <v>113</v>
      </c>
      <c r="D542" s="14" t="s">
        <v>114</v>
      </c>
      <c r="E542" s="24">
        <v>509514</v>
      </c>
    </row>
    <row r="543" spans="1:5" ht="13.5" customHeight="1" x14ac:dyDescent="0.25">
      <c r="A543" s="5"/>
      <c r="B543" s="441"/>
      <c r="C543" s="16" t="s">
        <v>115</v>
      </c>
      <c r="D543" s="16" t="s">
        <v>116</v>
      </c>
      <c r="E543" s="17">
        <v>71</v>
      </c>
    </row>
    <row r="544" spans="1:5" ht="13.5" customHeight="1" x14ac:dyDescent="0.25">
      <c r="A544" s="5"/>
      <c r="B544" s="441" t="s">
        <v>48</v>
      </c>
      <c r="C544" s="448" t="s">
        <v>209</v>
      </c>
      <c r="D544" s="448"/>
      <c r="E544" s="25">
        <v>11407320</v>
      </c>
    </row>
    <row r="545" spans="1:5" ht="13.5" customHeight="1" x14ac:dyDescent="0.25">
      <c r="A545" s="5"/>
      <c r="B545" s="441"/>
      <c r="C545" s="449" t="s">
        <v>100</v>
      </c>
      <c r="D545" s="449"/>
      <c r="E545" s="26">
        <v>10615608</v>
      </c>
    </row>
    <row r="546" spans="1:5" ht="14.25" customHeight="1" x14ac:dyDescent="0.25">
      <c r="A546" s="5"/>
      <c r="B546" s="441"/>
      <c r="C546" s="14" t="s">
        <v>101</v>
      </c>
      <c r="D546" s="14" t="s">
        <v>102</v>
      </c>
      <c r="E546" s="24">
        <v>8947965</v>
      </c>
    </row>
    <row r="547" spans="1:5" ht="13.5" customHeight="1" collapsed="1" x14ac:dyDescent="0.25">
      <c r="A547" s="5"/>
      <c r="B547" s="441"/>
      <c r="C547" s="14" t="s">
        <v>103</v>
      </c>
      <c r="D547" s="14" t="s">
        <v>104</v>
      </c>
      <c r="E547" s="24">
        <v>1667643</v>
      </c>
    </row>
    <row r="548" spans="1:5" ht="13.5" hidden="1" customHeight="1" outlineLevel="1" x14ac:dyDescent="0.25">
      <c r="A548" s="5"/>
      <c r="B548" s="441"/>
      <c r="C548" s="14" t="s">
        <v>105</v>
      </c>
      <c r="D548" s="14" t="s">
        <v>106</v>
      </c>
      <c r="E548" s="24"/>
    </row>
    <row r="549" spans="1:5" ht="13.5" hidden="1" customHeight="1" outlineLevel="1" x14ac:dyDescent="0.25">
      <c r="A549" s="5"/>
      <c r="B549" s="441"/>
      <c r="C549" s="14" t="s">
        <v>107</v>
      </c>
      <c r="D549" s="14" t="s">
        <v>108</v>
      </c>
      <c r="E549" s="24"/>
    </row>
    <row r="550" spans="1:5" ht="13.5" customHeight="1" collapsed="1" x14ac:dyDescent="0.25">
      <c r="A550" s="5"/>
      <c r="B550" s="441"/>
      <c r="C550" s="14" t="s">
        <v>109</v>
      </c>
      <c r="D550" s="14" t="s">
        <v>110</v>
      </c>
      <c r="E550" s="24">
        <v>791712</v>
      </c>
    </row>
    <row r="551" spans="1:5" ht="14.25" hidden="1" customHeight="1" outlineLevel="1" x14ac:dyDescent="0.25">
      <c r="A551" s="5"/>
      <c r="B551" s="441"/>
      <c r="C551" s="14" t="s">
        <v>111</v>
      </c>
      <c r="D551" s="14" t="s">
        <v>112</v>
      </c>
      <c r="E551" s="24"/>
    </row>
    <row r="552" spans="1:5" ht="24" hidden="1" customHeight="1" outlineLevel="1" x14ac:dyDescent="0.25">
      <c r="A552" s="5"/>
      <c r="B552" s="441"/>
      <c r="C552" s="14" t="s">
        <v>113</v>
      </c>
      <c r="D552" s="14" t="s">
        <v>114</v>
      </c>
      <c r="E552" s="24"/>
    </row>
    <row r="553" spans="1:5" ht="24" hidden="1" customHeight="1" outlineLevel="1" x14ac:dyDescent="0.25">
      <c r="A553" s="5"/>
      <c r="B553" s="441"/>
      <c r="C553" s="16" t="s">
        <v>115</v>
      </c>
      <c r="D553" s="16" t="s">
        <v>116</v>
      </c>
      <c r="E553" s="17"/>
    </row>
    <row r="554" spans="1:5" ht="13.5" customHeight="1" collapsed="1" x14ac:dyDescent="0.25">
      <c r="A554" s="5"/>
      <c r="B554" s="441" t="s">
        <v>210</v>
      </c>
      <c r="C554" s="459" t="s">
        <v>211</v>
      </c>
      <c r="D554" s="459"/>
      <c r="E554" s="25">
        <v>32688121</v>
      </c>
    </row>
    <row r="555" spans="1:5" ht="13.5" customHeight="1" x14ac:dyDescent="0.25">
      <c r="A555" s="5"/>
      <c r="B555" s="441"/>
      <c r="C555" s="460" t="s">
        <v>100</v>
      </c>
      <c r="D555" s="460"/>
      <c r="E555" s="26">
        <v>28208644</v>
      </c>
    </row>
    <row r="556" spans="1:5" ht="10.5" customHeight="1" x14ac:dyDescent="0.25">
      <c r="A556" s="5"/>
      <c r="B556" s="441"/>
      <c r="C556" s="455" t="s">
        <v>212</v>
      </c>
      <c r="D556" s="455"/>
      <c r="E556" s="24">
        <v>23724201</v>
      </c>
    </row>
    <row r="557" spans="1:5" ht="17.25" customHeight="1" collapsed="1" x14ac:dyDescent="0.25">
      <c r="A557" s="5"/>
      <c r="B557" s="441"/>
      <c r="C557" s="455" t="s">
        <v>213</v>
      </c>
      <c r="D557" s="456"/>
      <c r="E557" s="24">
        <v>4484409</v>
      </c>
    </row>
    <row r="558" spans="1:5" ht="13.5" hidden="1" customHeight="1" outlineLevel="1" x14ac:dyDescent="0.25">
      <c r="A558" s="5"/>
      <c r="B558" s="441"/>
      <c r="C558" s="455" t="s">
        <v>214</v>
      </c>
      <c r="D558" s="456"/>
      <c r="E558" s="24">
        <v>0</v>
      </c>
    </row>
    <row r="559" spans="1:5" ht="13.5" hidden="1" customHeight="1" outlineLevel="1" x14ac:dyDescent="0.25">
      <c r="A559" s="5"/>
      <c r="B559" s="441"/>
      <c r="C559" s="455" t="s">
        <v>215</v>
      </c>
      <c r="D559" s="456"/>
      <c r="E559" s="24">
        <v>0</v>
      </c>
    </row>
    <row r="560" spans="1:5" ht="13.5" customHeight="1" collapsed="1" x14ac:dyDescent="0.25">
      <c r="A560" s="5"/>
      <c r="B560" s="441"/>
      <c r="C560" s="455" t="s">
        <v>216</v>
      </c>
      <c r="D560" s="456"/>
      <c r="E560" s="24">
        <v>4479406</v>
      </c>
    </row>
    <row r="561" spans="1:5" ht="14.25" customHeight="1" x14ac:dyDescent="0.25">
      <c r="A561" s="5"/>
      <c r="B561" s="441"/>
      <c r="C561" s="455" t="s">
        <v>217</v>
      </c>
      <c r="D561" s="456"/>
      <c r="E561" s="24">
        <v>0</v>
      </c>
    </row>
    <row r="562" spans="1:5" ht="27" customHeight="1" x14ac:dyDescent="0.25">
      <c r="A562" s="5"/>
      <c r="B562" s="441"/>
      <c r="C562" s="455" t="s">
        <v>218</v>
      </c>
      <c r="D562" s="456"/>
      <c r="E562" s="24">
        <v>34</v>
      </c>
    </row>
    <row r="563" spans="1:5" ht="24.75" customHeight="1" x14ac:dyDescent="0.25">
      <c r="A563" s="5"/>
      <c r="B563" s="441"/>
      <c r="C563" s="457" t="s">
        <v>219</v>
      </c>
      <c r="D563" s="458"/>
      <c r="E563" s="17">
        <v>71</v>
      </c>
    </row>
    <row r="564" spans="1:5" ht="13.5" customHeight="1" x14ac:dyDescent="0.25">
      <c r="A564" s="5"/>
      <c r="B564" s="453" t="s">
        <v>220</v>
      </c>
      <c r="C564" s="450" t="s">
        <v>221</v>
      </c>
      <c r="D564" s="450"/>
      <c r="E564" s="27">
        <v>3703877</v>
      </c>
    </row>
    <row r="565" spans="1:5" ht="13.5" customHeight="1" x14ac:dyDescent="0.25">
      <c r="A565" s="5"/>
      <c r="B565" s="453"/>
      <c r="C565" s="451" t="s">
        <v>100</v>
      </c>
      <c r="D565" s="451"/>
      <c r="E565" s="28">
        <v>3553632</v>
      </c>
    </row>
    <row r="566" spans="1:5" ht="14.25" customHeight="1" x14ac:dyDescent="0.25">
      <c r="A566" s="5"/>
      <c r="B566" s="453"/>
      <c r="C566" s="14" t="s">
        <v>101</v>
      </c>
      <c r="D566" s="14" t="s">
        <v>102</v>
      </c>
      <c r="E566" s="24">
        <v>3019986</v>
      </c>
    </row>
    <row r="567" spans="1:5" ht="13.5" customHeight="1" collapsed="1" x14ac:dyDescent="0.25">
      <c r="A567" s="5"/>
      <c r="B567" s="453"/>
      <c r="C567" s="14" t="s">
        <v>103</v>
      </c>
      <c r="D567" s="14" t="s">
        <v>104</v>
      </c>
      <c r="E567" s="24">
        <v>533646</v>
      </c>
    </row>
    <row r="568" spans="1:5" ht="13.5" hidden="1" customHeight="1" outlineLevel="1" x14ac:dyDescent="0.25">
      <c r="A568" s="5"/>
      <c r="B568" s="453"/>
      <c r="C568" s="14" t="s">
        <v>105</v>
      </c>
      <c r="D568" s="14" t="s">
        <v>106</v>
      </c>
      <c r="E568" s="24"/>
    </row>
    <row r="569" spans="1:5" ht="13.5" hidden="1" customHeight="1" outlineLevel="1" x14ac:dyDescent="0.25">
      <c r="A569" s="5"/>
      <c r="B569" s="453"/>
      <c r="C569" s="14" t="s">
        <v>107</v>
      </c>
      <c r="D569" s="14" t="s">
        <v>108</v>
      </c>
      <c r="E569" s="24"/>
    </row>
    <row r="570" spans="1:5" ht="13.5" customHeight="1" collapsed="1" x14ac:dyDescent="0.25">
      <c r="A570" s="5"/>
      <c r="B570" s="453"/>
      <c r="C570" s="14" t="s">
        <v>109</v>
      </c>
      <c r="D570" s="14" t="s">
        <v>110</v>
      </c>
      <c r="E570" s="24">
        <v>150245</v>
      </c>
    </row>
    <row r="571" spans="1:5" ht="14.25" hidden="1" customHeight="1" outlineLevel="1" x14ac:dyDescent="0.25">
      <c r="A571" s="5"/>
      <c r="B571" s="453"/>
      <c r="C571" s="14" t="s">
        <v>111</v>
      </c>
      <c r="D571" s="14" t="s">
        <v>112</v>
      </c>
      <c r="E571" s="24"/>
    </row>
    <row r="572" spans="1:5" ht="13.5" hidden="1" customHeight="1" outlineLevel="1" x14ac:dyDescent="0.25">
      <c r="A572" s="5"/>
      <c r="B572" s="453"/>
      <c r="C572" s="14" t="s">
        <v>113</v>
      </c>
      <c r="D572" s="14" t="s">
        <v>114</v>
      </c>
      <c r="E572" s="24"/>
    </row>
    <row r="573" spans="1:5" ht="13.5" hidden="1" customHeight="1" outlineLevel="1" x14ac:dyDescent="0.25">
      <c r="A573" s="5"/>
      <c r="B573" s="453"/>
      <c r="C573" s="14" t="s">
        <v>115</v>
      </c>
      <c r="D573" s="14" t="s">
        <v>116</v>
      </c>
      <c r="E573" s="24"/>
    </row>
    <row r="574" spans="1:5" ht="13.5" customHeight="1" collapsed="1" x14ac:dyDescent="0.25">
      <c r="A574" s="5"/>
      <c r="B574" s="452" t="s">
        <v>222</v>
      </c>
      <c r="C574" s="451" t="s">
        <v>223</v>
      </c>
      <c r="D574" s="451"/>
      <c r="E574" s="28">
        <v>28984244</v>
      </c>
    </row>
    <row r="575" spans="1:5" ht="13.5" customHeight="1" x14ac:dyDescent="0.25">
      <c r="A575" s="5"/>
      <c r="B575" s="452"/>
      <c r="C575" s="451" t="s">
        <v>100</v>
      </c>
      <c r="D575" s="451"/>
      <c r="E575" s="28">
        <v>24655012</v>
      </c>
    </row>
    <row r="576" spans="1:5" ht="14.25" customHeight="1" x14ac:dyDescent="0.25">
      <c r="A576" s="5"/>
      <c r="B576" s="452"/>
      <c r="C576" s="14" t="s">
        <v>101</v>
      </c>
      <c r="D576" s="14" t="s">
        <v>102</v>
      </c>
      <c r="E576" s="24">
        <v>20704215</v>
      </c>
    </row>
    <row r="577" spans="1:5" ht="13.5" customHeight="1" collapsed="1" x14ac:dyDescent="0.25">
      <c r="A577" s="5"/>
      <c r="B577" s="452"/>
      <c r="C577" s="14" t="s">
        <v>103</v>
      </c>
      <c r="D577" s="14" t="s">
        <v>104</v>
      </c>
      <c r="E577" s="24">
        <v>3950763</v>
      </c>
    </row>
    <row r="578" spans="1:5" ht="13.5" hidden="1" customHeight="1" outlineLevel="1" x14ac:dyDescent="0.25">
      <c r="A578" s="5"/>
      <c r="B578" s="452"/>
      <c r="C578" s="14" t="s">
        <v>105</v>
      </c>
      <c r="D578" s="14" t="s">
        <v>106</v>
      </c>
      <c r="E578" s="24"/>
    </row>
    <row r="579" spans="1:5" ht="13.5" hidden="1" customHeight="1" outlineLevel="1" x14ac:dyDescent="0.25">
      <c r="A579" s="5"/>
      <c r="B579" s="452"/>
      <c r="C579" s="14" t="s">
        <v>107</v>
      </c>
      <c r="D579" s="14" t="s">
        <v>108</v>
      </c>
      <c r="E579" s="24"/>
    </row>
    <row r="580" spans="1:5" ht="13.5" customHeight="1" collapsed="1" x14ac:dyDescent="0.25">
      <c r="A580" s="5"/>
      <c r="B580" s="452"/>
      <c r="C580" s="14" t="s">
        <v>109</v>
      </c>
      <c r="D580" s="14" t="s">
        <v>110</v>
      </c>
      <c r="E580" s="24">
        <v>4329161</v>
      </c>
    </row>
    <row r="581" spans="1:5" ht="14.25" hidden="1" customHeight="1" outlineLevel="1" x14ac:dyDescent="0.25">
      <c r="A581" s="5"/>
      <c r="B581" s="452"/>
      <c r="C581" s="14" t="s">
        <v>111</v>
      </c>
      <c r="D581" s="14" t="s">
        <v>112</v>
      </c>
      <c r="E581" s="24"/>
    </row>
    <row r="582" spans="1:5" ht="13.5" customHeight="1" collapsed="1" x14ac:dyDescent="0.25">
      <c r="A582" s="5"/>
      <c r="B582" s="452"/>
      <c r="C582" s="14" t="s">
        <v>113</v>
      </c>
      <c r="D582" s="14" t="s">
        <v>114</v>
      </c>
      <c r="E582" s="24">
        <v>34</v>
      </c>
    </row>
    <row r="583" spans="1:5" ht="13.5" customHeight="1" x14ac:dyDescent="0.25">
      <c r="A583" s="5"/>
      <c r="B583" s="452"/>
      <c r="C583" s="16" t="s">
        <v>115</v>
      </c>
      <c r="D583" s="16" t="s">
        <v>116</v>
      </c>
      <c r="E583" s="17">
        <v>71</v>
      </c>
    </row>
    <row r="584" spans="1:5" ht="13.5" customHeight="1" x14ac:dyDescent="0.25">
      <c r="A584" s="5"/>
      <c r="B584" s="441" t="s">
        <v>224</v>
      </c>
      <c r="C584" s="448" t="s">
        <v>225</v>
      </c>
      <c r="D584" s="448"/>
      <c r="E584" s="25">
        <v>1495283</v>
      </c>
    </row>
    <row r="585" spans="1:5" ht="13.5" customHeight="1" x14ac:dyDescent="0.25">
      <c r="A585" s="5"/>
      <c r="B585" s="441"/>
      <c r="C585" s="449" t="s">
        <v>100</v>
      </c>
      <c r="D585" s="449"/>
      <c r="E585" s="26">
        <v>1456380</v>
      </c>
    </row>
    <row r="586" spans="1:5" ht="14.25" customHeight="1" x14ac:dyDescent="0.25">
      <c r="A586" s="5"/>
      <c r="B586" s="441"/>
      <c r="C586" s="14" t="s">
        <v>101</v>
      </c>
      <c r="D586" s="14" t="s">
        <v>102</v>
      </c>
      <c r="E586" s="24">
        <v>1214575</v>
      </c>
    </row>
    <row r="587" spans="1:5" ht="13.5" customHeight="1" collapsed="1" x14ac:dyDescent="0.25">
      <c r="A587" s="5"/>
      <c r="B587" s="441"/>
      <c r="C587" s="14" t="s">
        <v>103</v>
      </c>
      <c r="D587" s="14" t="s">
        <v>104</v>
      </c>
      <c r="E587" s="24">
        <v>195676</v>
      </c>
    </row>
    <row r="588" spans="1:5" ht="13.5" hidden="1" customHeight="1" outlineLevel="1" x14ac:dyDescent="0.25">
      <c r="A588" s="5"/>
      <c r="B588" s="441"/>
      <c r="C588" s="14" t="s">
        <v>105</v>
      </c>
      <c r="D588" s="14" t="s">
        <v>106</v>
      </c>
      <c r="E588" s="24"/>
    </row>
    <row r="589" spans="1:5" ht="13.5" hidden="1" customHeight="1" outlineLevel="1" x14ac:dyDescent="0.25">
      <c r="A589" s="5"/>
      <c r="B589" s="441"/>
      <c r="C589" s="14" t="s">
        <v>107</v>
      </c>
      <c r="D589" s="14" t="s">
        <v>108</v>
      </c>
      <c r="E589" s="24"/>
    </row>
    <row r="590" spans="1:5" ht="13.5" customHeight="1" collapsed="1" x14ac:dyDescent="0.25">
      <c r="A590" s="5"/>
      <c r="B590" s="441"/>
      <c r="C590" s="14" t="s">
        <v>109</v>
      </c>
      <c r="D590" s="14" t="s">
        <v>110</v>
      </c>
      <c r="E590" s="24">
        <v>38903</v>
      </c>
    </row>
    <row r="591" spans="1:5" ht="14.25" customHeight="1" collapsed="1" x14ac:dyDescent="0.25">
      <c r="A591" s="5"/>
      <c r="B591" s="441"/>
      <c r="C591" s="14" t="s">
        <v>111</v>
      </c>
      <c r="D591" s="14" t="s">
        <v>112</v>
      </c>
      <c r="E591" s="24">
        <v>46129</v>
      </c>
    </row>
    <row r="592" spans="1:5" ht="13.5" hidden="1" customHeight="1" outlineLevel="1" x14ac:dyDescent="0.25">
      <c r="A592" s="5"/>
      <c r="B592" s="441"/>
      <c r="C592" s="14" t="s">
        <v>113</v>
      </c>
      <c r="D592" s="14" t="s">
        <v>114</v>
      </c>
      <c r="E592" s="24"/>
    </row>
    <row r="593" spans="1:5" ht="13.5" hidden="1" customHeight="1" outlineLevel="1" x14ac:dyDescent="0.25">
      <c r="A593" s="5"/>
      <c r="B593" s="441"/>
      <c r="C593" s="16" t="s">
        <v>115</v>
      </c>
      <c r="D593" s="16" t="s">
        <v>116</v>
      </c>
      <c r="E593" s="17"/>
    </row>
    <row r="594" spans="1:5" ht="13.5" customHeight="1" collapsed="1" x14ac:dyDescent="0.25">
      <c r="A594" s="5"/>
      <c r="B594" s="441" t="s">
        <v>226</v>
      </c>
      <c r="C594" s="448" t="s">
        <v>227</v>
      </c>
      <c r="D594" s="448"/>
      <c r="E594" s="25">
        <v>32380</v>
      </c>
    </row>
    <row r="595" spans="1:5" ht="13.5" customHeight="1" collapsed="1" x14ac:dyDescent="0.25">
      <c r="A595" s="5"/>
      <c r="B595" s="441"/>
      <c r="C595" s="449" t="s">
        <v>100</v>
      </c>
      <c r="D595" s="449"/>
      <c r="E595" s="26">
        <v>32380</v>
      </c>
    </row>
    <row r="596" spans="1:5" ht="14.25" hidden="1" customHeight="1" outlineLevel="1" x14ac:dyDescent="0.25">
      <c r="A596" s="5"/>
      <c r="B596" s="441"/>
      <c r="C596" s="14" t="s">
        <v>101</v>
      </c>
      <c r="D596" s="14" t="s">
        <v>102</v>
      </c>
      <c r="E596" s="24"/>
    </row>
    <row r="597" spans="1:5" ht="13.5" hidden="1" customHeight="1" outlineLevel="1" x14ac:dyDescent="0.25">
      <c r="A597" s="5"/>
      <c r="B597" s="441"/>
      <c r="C597" s="14" t="s">
        <v>103</v>
      </c>
      <c r="D597" s="14" t="s">
        <v>104</v>
      </c>
      <c r="E597" s="24"/>
    </row>
    <row r="598" spans="1:5" ht="13.5" hidden="1" customHeight="1" outlineLevel="1" x14ac:dyDescent="0.25">
      <c r="A598" s="5"/>
      <c r="B598" s="441"/>
      <c r="C598" s="14" t="s">
        <v>105</v>
      </c>
      <c r="D598" s="14" t="s">
        <v>106</v>
      </c>
      <c r="E598" s="24"/>
    </row>
    <row r="599" spans="1:5" ht="13.5" hidden="1" customHeight="1" outlineLevel="1" x14ac:dyDescent="0.25">
      <c r="A599" s="5"/>
      <c r="B599" s="441"/>
      <c r="C599" s="14" t="s">
        <v>107</v>
      </c>
      <c r="D599" s="14" t="s">
        <v>108</v>
      </c>
      <c r="E599" s="24"/>
    </row>
    <row r="600" spans="1:5" ht="13.5" hidden="1" customHeight="1" outlineLevel="1" x14ac:dyDescent="0.25">
      <c r="A600" s="5"/>
      <c r="B600" s="441"/>
      <c r="C600" s="14" t="s">
        <v>109</v>
      </c>
      <c r="D600" s="14" t="s">
        <v>110</v>
      </c>
      <c r="E600" s="24"/>
    </row>
    <row r="601" spans="1:5" ht="14.25" hidden="1" customHeight="1" outlineLevel="1" x14ac:dyDescent="0.25">
      <c r="A601" s="5"/>
      <c r="B601" s="441"/>
      <c r="C601" s="14" t="s">
        <v>111</v>
      </c>
      <c r="D601" s="14" t="s">
        <v>112</v>
      </c>
      <c r="E601" s="24"/>
    </row>
    <row r="602" spans="1:5" ht="13.5" customHeight="1" collapsed="1" x14ac:dyDescent="0.25">
      <c r="A602" s="5"/>
      <c r="B602" s="441"/>
      <c r="C602" s="14" t="s">
        <v>113</v>
      </c>
      <c r="D602" s="14" t="s">
        <v>114</v>
      </c>
      <c r="E602" s="24">
        <v>32380</v>
      </c>
    </row>
    <row r="603" spans="1:5" ht="13.5" hidden="1" customHeight="1" outlineLevel="1" x14ac:dyDescent="0.25">
      <c r="A603" s="5"/>
      <c r="B603" s="441"/>
      <c r="C603" s="16" t="s">
        <v>115</v>
      </c>
      <c r="D603" s="16" t="s">
        <v>116</v>
      </c>
      <c r="E603" s="17"/>
    </row>
    <row r="604" spans="1:5" ht="13.5" customHeight="1" collapsed="1" x14ac:dyDescent="0.25">
      <c r="A604" s="5"/>
      <c r="B604" s="441" t="s">
        <v>52</v>
      </c>
      <c r="C604" s="448" t="s">
        <v>228</v>
      </c>
      <c r="D604" s="448"/>
      <c r="E604" s="25">
        <v>5291650</v>
      </c>
    </row>
    <row r="605" spans="1:5" ht="13.5" customHeight="1" x14ac:dyDescent="0.25">
      <c r="A605" s="5"/>
      <c r="B605" s="441"/>
      <c r="C605" s="449" t="s">
        <v>100</v>
      </c>
      <c r="D605" s="449"/>
      <c r="E605" s="26">
        <v>5095554</v>
      </c>
    </row>
    <row r="606" spans="1:5" ht="14.25" customHeight="1" x14ac:dyDescent="0.25">
      <c r="A606" s="5"/>
      <c r="B606" s="441"/>
      <c r="C606" s="14" t="s">
        <v>101</v>
      </c>
      <c r="D606" s="14" t="s">
        <v>102</v>
      </c>
      <c r="E606" s="24">
        <v>3429815</v>
      </c>
    </row>
    <row r="607" spans="1:5" ht="13.5" customHeight="1" x14ac:dyDescent="0.25">
      <c r="A607" s="5"/>
      <c r="B607" s="441"/>
      <c r="C607" s="14" t="s">
        <v>103</v>
      </c>
      <c r="D607" s="14" t="s">
        <v>104</v>
      </c>
      <c r="E607" s="24">
        <v>1376018</v>
      </c>
    </row>
    <row r="608" spans="1:5" ht="13.5" customHeight="1" collapsed="1" x14ac:dyDescent="0.25">
      <c r="A608" s="5"/>
      <c r="B608" s="441"/>
      <c r="C608" s="14" t="s">
        <v>105</v>
      </c>
      <c r="D608" s="14" t="s">
        <v>106</v>
      </c>
      <c r="E608" s="24">
        <v>289058</v>
      </c>
    </row>
    <row r="609" spans="1:5" ht="13.5" hidden="1" customHeight="1" outlineLevel="1" x14ac:dyDescent="0.25">
      <c r="A609" s="5"/>
      <c r="B609" s="441"/>
      <c r="C609" s="14" t="s">
        <v>107</v>
      </c>
      <c r="D609" s="14" t="s">
        <v>108</v>
      </c>
      <c r="E609" s="24"/>
    </row>
    <row r="610" spans="1:5" ht="13.5" customHeight="1" collapsed="1" x14ac:dyDescent="0.25">
      <c r="A610" s="5"/>
      <c r="B610" s="441"/>
      <c r="C610" s="14" t="s">
        <v>109</v>
      </c>
      <c r="D610" s="14" t="s">
        <v>110</v>
      </c>
      <c r="E610" s="24">
        <v>196096</v>
      </c>
    </row>
    <row r="611" spans="1:5" ht="14.25" customHeight="1" x14ac:dyDescent="0.25">
      <c r="A611" s="5"/>
      <c r="B611" s="441"/>
      <c r="C611" s="14" t="s">
        <v>111</v>
      </c>
      <c r="D611" s="14" t="s">
        <v>112</v>
      </c>
      <c r="E611" s="24">
        <v>485</v>
      </c>
    </row>
    <row r="612" spans="1:5" ht="13.5" customHeight="1" x14ac:dyDescent="0.25">
      <c r="A612" s="5"/>
      <c r="B612" s="441"/>
      <c r="C612" s="14" t="s">
        <v>113</v>
      </c>
      <c r="D612" s="14" t="s">
        <v>114</v>
      </c>
      <c r="E612" s="24">
        <v>178</v>
      </c>
    </row>
    <row r="613" spans="1:5" ht="13.5" customHeight="1" x14ac:dyDescent="0.25">
      <c r="A613" s="5"/>
      <c r="B613" s="441"/>
      <c r="C613" s="16" t="s">
        <v>115</v>
      </c>
      <c r="D613" s="16" t="s">
        <v>116</v>
      </c>
      <c r="E613" s="17"/>
    </row>
    <row r="614" spans="1:5" ht="13.5" customHeight="1" x14ac:dyDescent="0.25">
      <c r="A614" s="5"/>
      <c r="B614" s="441" t="s">
        <v>229</v>
      </c>
      <c r="C614" s="450" t="s">
        <v>230</v>
      </c>
      <c r="D614" s="450"/>
      <c r="E614" s="27">
        <v>5291650</v>
      </c>
    </row>
    <row r="615" spans="1:5" ht="13.5" customHeight="1" x14ac:dyDescent="0.25">
      <c r="A615" s="5"/>
      <c r="B615" s="441"/>
      <c r="C615" s="451" t="s">
        <v>100</v>
      </c>
      <c r="D615" s="451"/>
      <c r="E615" s="28">
        <v>5095554</v>
      </c>
    </row>
    <row r="616" spans="1:5" ht="14.25" customHeight="1" x14ac:dyDescent="0.25">
      <c r="A616" s="5"/>
      <c r="B616" s="441"/>
      <c r="C616" s="14" t="s">
        <v>101</v>
      </c>
      <c r="D616" s="14" t="s">
        <v>102</v>
      </c>
      <c r="E616" s="24">
        <v>3429815</v>
      </c>
    </row>
    <row r="617" spans="1:5" ht="13.5" customHeight="1" x14ac:dyDescent="0.25">
      <c r="A617" s="5"/>
      <c r="B617" s="441"/>
      <c r="C617" s="14" t="s">
        <v>103</v>
      </c>
      <c r="D617" s="14" t="s">
        <v>104</v>
      </c>
      <c r="E617" s="24">
        <v>1376018</v>
      </c>
    </row>
    <row r="618" spans="1:5" ht="13.5" customHeight="1" collapsed="1" x14ac:dyDescent="0.25">
      <c r="A618" s="5"/>
      <c r="B618" s="441"/>
      <c r="C618" s="14" t="s">
        <v>105</v>
      </c>
      <c r="D618" s="14" t="s">
        <v>106</v>
      </c>
      <c r="E618" s="24">
        <v>289058</v>
      </c>
    </row>
    <row r="619" spans="1:5" ht="13.5" hidden="1" customHeight="1" outlineLevel="1" x14ac:dyDescent="0.25">
      <c r="A619" s="5"/>
      <c r="B619" s="441"/>
      <c r="C619" s="14" t="s">
        <v>107</v>
      </c>
      <c r="D619" s="14" t="s">
        <v>108</v>
      </c>
      <c r="E619" s="24"/>
    </row>
    <row r="620" spans="1:5" ht="13.5" customHeight="1" collapsed="1" x14ac:dyDescent="0.25">
      <c r="A620" s="5"/>
      <c r="B620" s="441"/>
      <c r="C620" s="14" t="s">
        <v>109</v>
      </c>
      <c r="D620" s="14" t="s">
        <v>110</v>
      </c>
      <c r="E620" s="24">
        <v>196096</v>
      </c>
    </row>
    <row r="621" spans="1:5" ht="14.25" customHeight="1" x14ac:dyDescent="0.25">
      <c r="A621" s="5"/>
      <c r="B621" s="441"/>
      <c r="C621" s="14" t="s">
        <v>111</v>
      </c>
      <c r="D621" s="14" t="s">
        <v>112</v>
      </c>
      <c r="E621" s="24">
        <v>485</v>
      </c>
    </row>
    <row r="622" spans="1:5" ht="13.5" customHeight="1" collapsed="1" x14ac:dyDescent="0.25">
      <c r="A622" s="5"/>
      <c r="B622" s="441"/>
      <c r="C622" s="14" t="s">
        <v>113</v>
      </c>
      <c r="D622" s="14" t="s">
        <v>114</v>
      </c>
      <c r="E622" s="24">
        <v>178</v>
      </c>
    </row>
    <row r="623" spans="1:5" ht="13.5" hidden="1" customHeight="1" outlineLevel="1" x14ac:dyDescent="0.25">
      <c r="A623" s="5"/>
      <c r="B623" s="441"/>
      <c r="C623" s="16" t="s">
        <v>115</v>
      </c>
      <c r="D623" s="16" t="s">
        <v>116</v>
      </c>
      <c r="E623" s="17"/>
    </row>
    <row r="624" spans="1:5" ht="13.5" customHeight="1" collapsed="1" x14ac:dyDescent="0.25">
      <c r="A624" s="5"/>
      <c r="B624" s="441" t="s">
        <v>231</v>
      </c>
      <c r="C624" s="448" t="s">
        <v>232</v>
      </c>
      <c r="D624" s="448"/>
      <c r="E624" s="25">
        <v>7089834</v>
      </c>
    </row>
    <row r="625" spans="1:5" ht="13.5" customHeight="1" x14ac:dyDescent="0.25">
      <c r="A625" s="5"/>
      <c r="B625" s="441"/>
      <c r="C625" s="449" t="s">
        <v>100</v>
      </c>
      <c r="D625" s="449"/>
      <c r="E625" s="26">
        <v>5931358</v>
      </c>
    </row>
    <row r="626" spans="1:5" ht="14.25" customHeight="1" x14ac:dyDescent="0.25">
      <c r="A626" s="5"/>
      <c r="B626" s="441"/>
      <c r="C626" s="14" t="s">
        <v>101</v>
      </c>
      <c r="D626" s="14" t="s">
        <v>102</v>
      </c>
      <c r="E626" s="24">
        <v>1039476</v>
      </c>
    </row>
    <row r="627" spans="1:5" ht="13.5" customHeight="1" x14ac:dyDescent="0.25">
      <c r="A627" s="5"/>
      <c r="B627" s="441"/>
      <c r="C627" s="14" t="s">
        <v>103</v>
      </c>
      <c r="D627" s="14" t="s">
        <v>104</v>
      </c>
      <c r="E627" s="24">
        <v>4711755</v>
      </c>
    </row>
    <row r="628" spans="1:5" ht="13.5" customHeight="1" collapsed="1" x14ac:dyDescent="0.25">
      <c r="A628" s="5"/>
      <c r="B628" s="441"/>
      <c r="C628" s="14" t="s">
        <v>105</v>
      </c>
      <c r="D628" s="14" t="s">
        <v>106</v>
      </c>
      <c r="E628" s="24">
        <v>98196</v>
      </c>
    </row>
    <row r="629" spans="1:5" ht="13.5" hidden="1" customHeight="1" outlineLevel="1" x14ac:dyDescent="0.25">
      <c r="A629" s="5"/>
      <c r="B629" s="441"/>
      <c r="C629" s="14" t="s">
        <v>107</v>
      </c>
      <c r="D629" s="14" t="s">
        <v>108</v>
      </c>
      <c r="E629" s="24"/>
    </row>
    <row r="630" spans="1:5" ht="13.5" customHeight="1" collapsed="1" x14ac:dyDescent="0.25">
      <c r="A630" s="5"/>
      <c r="B630" s="441"/>
      <c r="C630" s="14" t="s">
        <v>109</v>
      </c>
      <c r="D630" s="14" t="s">
        <v>110</v>
      </c>
      <c r="E630" s="24">
        <v>1158476</v>
      </c>
    </row>
    <row r="631" spans="1:5" ht="14.25" hidden="1" customHeight="1" outlineLevel="1" x14ac:dyDescent="0.25">
      <c r="A631" s="5"/>
      <c r="B631" s="441"/>
      <c r="C631" s="14" t="s">
        <v>111</v>
      </c>
      <c r="D631" s="14" t="s">
        <v>112</v>
      </c>
      <c r="E631" s="24"/>
    </row>
    <row r="632" spans="1:5" ht="13.5" customHeight="1" collapsed="1" x14ac:dyDescent="0.25">
      <c r="A632" s="5"/>
      <c r="B632" s="441"/>
      <c r="C632" s="14" t="s">
        <v>113</v>
      </c>
      <c r="D632" s="14" t="s">
        <v>114</v>
      </c>
      <c r="E632" s="24">
        <v>81931</v>
      </c>
    </row>
    <row r="633" spans="1:5" ht="13.5" hidden="1" customHeight="1" outlineLevel="1" x14ac:dyDescent="0.25">
      <c r="A633" s="5"/>
      <c r="B633" s="441"/>
      <c r="C633" s="16" t="s">
        <v>115</v>
      </c>
      <c r="D633" s="16" t="s">
        <v>116</v>
      </c>
      <c r="E633" s="17"/>
    </row>
    <row r="634" spans="1:5" ht="13.5" customHeight="1" collapsed="1" x14ac:dyDescent="0.25">
      <c r="A634" s="5"/>
      <c r="B634" s="453" t="s">
        <v>233</v>
      </c>
      <c r="C634" s="450" t="s">
        <v>234</v>
      </c>
      <c r="D634" s="450"/>
      <c r="E634" s="27">
        <v>775359</v>
      </c>
    </row>
    <row r="635" spans="1:5" ht="13.5" customHeight="1" x14ac:dyDescent="0.25">
      <c r="A635" s="5"/>
      <c r="B635" s="453"/>
      <c r="C635" s="451" t="s">
        <v>100</v>
      </c>
      <c r="D635" s="451"/>
      <c r="E635" s="28">
        <v>775359</v>
      </c>
    </row>
    <row r="636" spans="1:5" ht="14.25" customHeight="1" x14ac:dyDescent="0.25">
      <c r="A636" s="5"/>
      <c r="B636" s="453"/>
      <c r="C636" s="14" t="s">
        <v>101</v>
      </c>
      <c r="D636" s="14" t="s">
        <v>102</v>
      </c>
      <c r="E636" s="24">
        <v>76273</v>
      </c>
    </row>
    <row r="637" spans="1:5" ht="13.5" customHeight="1" collapsed="1" x14ac:dyDescent="0.25">
      <c r="A637" s="5"/>
      <c r="B637" s="453"/>
      <c r="C637" s="14" t="s">
        <v>103</v>
      </c>
      <c r="D637" s="14" t="s">
        <v>104</v>
      </c>
      <c r="E637" s="24">
        <v>699086</v>
      </c>
    </row>
    <row r="638" spans="1:5" ht="13.5" hidden="1" customHeight="1" outlineLevel="1" x14ac:dyDescent="0.25">
      <c r="A638" s="5"/>
      <c r="B638" s="453"/>
      <c r="C638" s="14" t="s">
        <v>105</v>
      </c>
      <c r="D638" s="14" t="s">
        <v>106</v>
      </c>
      <c r="E638" s="24"/>
    </row>
    <row r="639" spans="1:5" ht="13.5" hidden="1" customHeight="1" outlineLevel="1" x14ac:dyDescent="0.25">
      <c r="A639" s="5"/>
      <c r="B639" s="453"/>
      <c r="C639" s="14" t="s">
        <v>107</v>
      </c>
      <c r="D639" s="14" t="s">
        <v>108</v>
      </c>
      <c r="E639" s="24"/>
    </row>
    <row r="640" spans="1:5" ht="13.5" hidden="1" customHeight="1" outlineLevel="1" x14ac:dyDescent="0.25">
      <c r="A640" s="5"/>
      <c r="B640" s="453"/>
      <c r="C640" s="14" t="s">
        <v>109</v>
      </c>
      <c r="D640" s="14" t="s">
        <v>110</v>
      </c>
      <c r="E640" s="24"/>
    </row>
    <row r="641" spans="1:5" ht="14.25" hidden="1" customHeight="1" outlineLevel="1" x14ac:dyDescent="0.25">
      <c r="A641" s="5"/>
      <c r="B641" s="453"/>
      <c r="C641" s="14" t="s">
        <v>111</v>
      </c>
      <c r="D641" s="14" t="s">
        <v>112</v>
      </c>
      <c r="E641" s="24"/>
    </row>
    <row r="642" spans="1:5" ht="13.5" hidden="1" customHeight="1" outlineLevel="1" x14ac:dyDescent="0.25">
      <c r="A642" s="5"/>
      <c r="B642" s="453"/>
      <c r="C642" s="14" t="s">
        <v>113</v>
      </c>
      <c r="D642" s="14" t="s">
        <v>114</v>
      </c>
      <c r="E642" s="24"/>
    </row>
    <row r="643" spans="1:5" ht="13.5" hidden="1" customHeight="1" outlineLevel="1" x14ac:dyDescent="0.25">
      <c r="A643" s="5"/>
      <c r="B643" s="453"/>
      <c r="C643" s="14" t="s">
        <v>115</v>
      </c>
      <c r="D643" s="14" t="s">
        <v>116</v>
      </c>
      <c r="E643" s="24"/>
    </row>
    <row r="644" spans="1:5" ht="13.5" customHeight="1" collapsed="1" x14ac:dyDescent="0.25">
      <c r="A644" s="5"/>
      <c r="B644" s="454" t="s">
        <v>235</v>
      </c>
      <c r="C644" s="451" t="s">
        <v>236</v>
      </c>
      <c r="D644" s="451"/>
      <c r="E644" s="28">
        <v>2653538</v>
      </c>
    </row>
    <row r="645" spans="1:5" ht="13.5" customHeight="1" x14ac:dyDescent="0.25">
      <c r="A645" s="5"/>
      <c r="B645" s="454"/>
      <c r="C645" s="451" t="s">
        <v>100</v>
      </c>
      <c r="D645" s="451"/>
      <c r="E645" s="28">
        <v>2653538</v>
      </c>
    </row>
    <row r="646" spans="1:5" ht="14.25" customHeight="1" x14ac:dyDescent="0.25">
      <c r="A646" s="5"/>
      <c r="B646" s="454"/>
      <c r="C646" s="14" t="s">
        <v>101</v>
      </c>
      <c r="D646" s="14" t="s">
        <v>102</v>
      </c>
      <c r="E646" s="24">
        <v>144323</v>
      </c>
    </row>
    <row r="647" spans="1:5" ht="13.5" customHeight="1" collapsed="1" x14ac:dyDescent="0.25">
      <c r="A647" s="5"/>
      <c r="B647" s="454"/>
      <c r="C647" s="14" t="s">
        <v>103</v>
      </c>
      <c r="D647" s="14" t="s">
        <v>104</v>
      </c>
      <c r="E647" s="24">
        <v>2505564</v>
      </c>
    </row>
    <row r="648" spans="1:5" ht="13.5" hidden="1" customHeight="1" outlineLevel="1" x14ac:dyDescent="0.25">
      <c r="A648" s="5"/>
      <c r="B648" s="454"/>
      <c r="C648" s="14" t="s">
        <v>105</v>
      </c>
      <c r="D648" s="14" t="s">
        <v>106</v>
      </c>
      <c r="E648" s="24"/>
    </row>
    <row r="649" spans="1:5" ht="13.5" hidden="1" customHeight="1" outlineLevel="1" x14ac:dyDescent="0.25">
      <c r="A649" s="5"/>
      <c r="B649" s="454"/>
      <c r="C649" s="14" t="s">
        <v>107</v>
      </c>
      <c r="D649" s="14" t="s">
        <v>108</v>
      </c>
      <c r="E649" s="24"/>
    </row>
    <row r="650" spans="1:5" ht="13.5" hidden="1" customHeight="1" outlineLevel="1" x14ac:dyDescent="0.25">
      <c r="A650" s="5"/>
      <c r="B650" s="454"/>
      <c r="C650" s="14" t="s">
        <v>109</v>
      </c>
      <c r="D650" s="14" t="s">
        <v>110</v>
      </c>
      <c r="E650" s="24"/>
    </row>
    <row r="651" spans="1:5" ht="14.25" hidden="1" customHeight="1" outlineLevel="1" x14ac:dyDescent="0.25">
      <c r="A651" s="5"/>
      <c r="B651" s="454"/>
      <c r="C651" s="14" t="s">
        <v>111</v>
      </c>
      <c r="D651" s="14" t="s">
        <v>112</v>
      </c>
      <c r="E651" s="24"/>
    </row>
    <row r="652" spans="1:5" ht="13.5" customHeight="1" collapsed="1" x14ac:dyDescent="0.25">
      <c r="A652" s="5"/>
      <c r="B652" s="454"/>
      <c r="C652" s="14" t="s">
        <v>113</v>
      </c>
      <c r="D652" s="14" t="s">
        <v>114</v>
      </c>
      <c r="E652" s="24">
        <v>3651</v>
      </c>
    </row>
    <row r="653" spans="1:5" ht="13.5" hidden="1" customHeight="1" outlineLevel="1" x14ac:dyDescent="0.25">
      <c r="A653" s="5"/>
      <c r="B653" s="454"/>
      <c r="C653" s="14" t="s">
        <v>115</v>
      </c>
      <c r="D653" s="14" t="s">
        <v>116</v>
      </c>
      <c r="E653" s="24"/>
    </row>
    <row r="654" spans="1:5" ht="13.5" customHeight="1" collapsed="1" x14ac:dyDescent="0.25">
      <c r="A654" s="5"/>
      <c r="B654" s="454" t="s">
        <v>237</v>
      </c>
      <c r="C654" s="451" t="s">
        <v>238</v>
      </c>
      <c r="D654" s="451"/>
      <c r="E654" s="28">
        <v>1813219</v>
      </c>
    </row>
    <row r="655" spans="1:5" ht="13.5" customHeight="1" x14ac:dyDescent="0.25">
      <c r="A655" s="5"/>
      <c r="B655" s="454"/>
      <c r="C655" s="451" t="s">
        <v>100</v>
      </c>
      <c r="D655" s="451"/>
      <c r="E655" s="28">
        <v>687610</v>
      </c>
    </row>
    <row r="656" spans="1:5" ht="14.25" customHeight="1" x14ac:dyDescent="0.25">
      <c r="A656" s="5"/>
      <c r="B656" s="454"/>
      <c r="C656" s="14" t="s">
        <v>101</v>
      </c>
      <c r="D656" s="14" t="s">
        <v>102</v>
      </c>
      <c r="E656" s="24">
        <v>303657</v>
      </c>
    </row>
    <row r="657" spans="1:5" ht="13.5" customHeight="1" collapsed="1" x14ac:dyDescent="0.25">
      <c r="A657" s="5"/>
      <c r="B657" s="454"/>
      <c r="C657" s="14" t="s">
        <v>103</v>
      </c>
      <c r="D657" s="14" t="s">
        <v>104</v>
      </c>
      <c r="E657" s="24">
        <v>383953</v>
      </c>
    </row>
    <row r="658" spans="1:5" ht="13.5" hidden="1" customHeight="1" outlineLevel="1" x14ac:dyDescent="0.25">
      <c r="A658" s="5"/>
      <c r="B658" s="454"/>
      <c r="C658" s="14" t="s">
        <v>105</v>
      </c>
      <c r="D658" s="14" t="s">
        <v>106</v>
      </c>
      <c r="E658" s="24"/>
    </row>
    <row r="659" spans="1:5" ht="13.5" hidden="1" customHeight="1" outlineLevel="1" x14ac:dyDescent="0.25">
      <c r="A659" s="5"/>
      <c r="B659" s="454"/>
      <c r="C659" s="14" t="s">
        <v>107</v>
      </c>
      <c r="D659" s="14" t="s">
        <v>108</v>
      </c>
      <c r="E659" s="24"/>
    </row>
    <row r="660" spans="1:5" ht="13.5" customHeight="1" collapsed="1" x14ac:dyDescent="0.25">
      <c r="A660" s="5"/>
      <c r="B660" s="454"/>
      <c r="C660" s="14" t="s">
        <v>109</v>
      </c>
      <c r="D660" s="14" t="s">
        <v>110</v>
      </c>
      <c r="E660" s="24">
        <v>1125609</v>
      </c>
    </row>
    <row r="661" spans="1:5" ht="14.25" hidden="1" customHeight="1" outlineLevel="1" x14ac:dyDescent="0.25">
      <c r="A661" s="5"/>
      <c r="B661" s="454"/>
      <c r="C661" s="14" t="s">
        <v>111</v>
      </c>
      <c r="D661" s="14" t="s">
        <v>112</v>
      </c>
      <c r="E661" s="24"/>
    </row>
    <row r="662" spans="1:5" ht="13.5" hidden="1" customHeight="1" outlineLevel="1" x14ac:dyDescent="0.25">
      <c r="A662" s="5"/>
      <c r="B662" s="454"/>
      <c r="C662" s="14" t="s">
        <v>113</v>
      </c>
      <c r="D662" s="14" t="s">
        <v>114</v>
      </c>
      <c r="E662" s="24"/>
    </row>
    <row r="663" spans="1:5" ht="13.5" hidden="1" customHeight="1" outlineLevel="1" x14ac:dyDescent="0.25">
      <c r="A663" s="5"/>
      <c r="B663" s="454"/>
      <c r="C663" s="14" t="s">
        <v>115</v>
      </c>
      <c r="D663" s="14" t="s">
        <v>116</v>
      </c>
      <c r="E663" s="24"/>
    </row>
    <row r="664" spans="1:5" ht="13.5" customHeight="1" collapsed="1" x14ac:dyDescent="0.25">
      <c r="A664" s="5"/>
      <c r="B664" s="452" t="s">
        <v>239</v>
      </c>
      <c r="C664" s="451" t="s">
        <v>240</v>
      </c>
      <c r="D664" s="451"/>
      <c r="E664" s="28">
        <v>1847718</v>
      </c>
    </row>
    <row r="665" spans="1:5" ht="13.5" customHeight="1" x14ac:dyDescent="0.25">
      <c r="A665" s="5"/>
      <c r="B665" s="452"/>
      <c r="C665" s="451" t="s">
        <v>100</v>
      </c>
      <c r="D665" s="451"/>
      <c r="E665" s="28">
        <v>1814851</v>
      </c>
    </row>
    <row r="666" spans="1:5" ht="14.25" customHeight="1" x14ac:dyDescent="0.25">
      <c r="A666" s="5"/>
      <c r="B666" s="452"/>
      <c r="C666" s="14" t="s">
        <v>101</v>
      </c>
      <c r="D666" s="14" t="s">
        <v>102</v>
      </c>
      <c r="E666" s="24">
        <v>515223</v>
      </c>
    </row>
    <row r="667" spans="1:5" ht="13.5" customHeight="1" x14ac:dyDescent="0.25">
      <c r="A667" s="5"/>
      <c r="B667" s="452"/>
      <c r="C667" s="14" t="s">
        <v>103</v>
      </c>
      <c r="D667" s="14" t="s">
        <v>104</v>
      </c>
      <c r="E667" s="24">
        <v>1123152</v>
      </c>
    </row>
    <row r="668" spans="1:5" ht="13.5" customHeight="1" collapsed="1" x14ac:dyDescent="0.25">
      <c r="A668" s="5"/>
      <c r="B668" s="452"/>
      <c r="C668" s="14" t="s">
        <v>105</v>
      </c>
      <c r="D668" s="14" t="s">
        <v>106</v>
      </c>
      <c r="E668" s="24">
        <v>98196</v>
      </c>
    </row>
    <row r="669" spans="1:5" ht="13.5" hidden="1" customHeight="1" outlineLevel="1" x14ac:dyDescent="0.25">
      <c r="A669" s="5"/>
      <c r="B669" s="452"/>
      <c r="C669" s="14" t="s">
        <v>107</v>
      </c>
      <c r="D669" s="14" t="s">
        <v>108</v>
      </c>
      <c r="E669" s="24"/>
    </row>
    <row r="670" spans="1:5" ht="13.5" customHeight="1" collapsed="1" x14ac:dyDescent="0.25">
      <c r="A670" s="5"/>
      <c r="B670" s="452"/>
      <c r="C670" s="14" t="s">
        <v>109</v>
      </c>
      <c r="D670" s="14" t="s">
        <v>110</v>
      </c>
      <c r="E670" s="24">
        <v>32867</v>
      </c>
    </row>
    <row r="671" spans="1:5" ht="14.25" hidden="1" customHeight="1" outlineLevel="1" x14ac:dyDescent="0.25">
      <c r="A671" s="5"/>
      <c r="B671" s="452"/>
      <c r="C671" s="14" t="s">
        <v>111</v>
      </c>
      <c r="D671" s="14" t="s">
        <v>112</v>
      </c>
      <c r="E671" s="24"/>
    </row>
    <row r="672" spans="1:5" ht="13.5" customHeight="1" collapsed="1" x14ac:dyDescent="0.25">
      <c r="A672" s="5"/>
      <c r="B672" s="452"/>
      <c r="C672" s="14" t="s">
        <v>113</v>
      </c>
      <c r="D672" s="14" t="s">
        <v>114</v>
      </c>
      <c r="E672" s="24">
        <v>78280</v>
      </c>
    </row>
    <row r="673" spans="1:5" ht="13.5" hidden="1" customHeight="1" outlineLevel="1" x14ac:dyDescent="0.25">
      <c r="A673" s="5"/>
      <c r="B673" s="452"/>
      <c r="C673" s="16" t="s">
        <v>115</v>
      </c>
      <c r="D673" s="16" t="s">
        <v>116</v>
      </c>
      <c r="E673" s="17"/>
    </row>
    <row r="674" spans="1:5" ht="13.5" customHeight="1" collapsed="1" x14ac:dyDescent="0.25">
      <c r="A674" s="5"/>
      <c r="B674" s="441" t="s">
        <v>241</v>
      </c>
      <c r="C674" s="448" t="s">
        <v>242</v>
      </c>
      <c r="D674" s="448"/>
      <c r="E674" s="25">
        <v>2025433</v>
      </c>
    </row>
    <row r="675" spans="1:5" ht="13.5" customHeight="1" x14ac:dyDescent="0.25">
      <c r="A675" s="5"/>
      <c r="B675" s="441"/>
      <c r="C675" s="449" t="s">
        <v>100</v>
      </c>
      <c r="D675" s="449"/>
      <c r="E675" s="26">
        <v>2014284</v>
      </c>
    </row>
    <row r="676" spans="1:5" ht="14.25" customHeight="1" x14ac:dyDescent="0.25">
      <c r="A676" s="5"/>
      <c r="B676" s="441"/>
      <c r="C676" s="14" t="s">
        <v>101</v>
      </c>
      <c r="D676" s="14" t="s">
        <v>102</v>
      </c>
      <c r="E676" s="24">
        <v>346855</v>
      </c>
    </row>
    <row r="677" spans="1:5" ht="13.5" customHeight="1" x14ac:dyDescent="0.25">
      <c r="A677" s="5"/>
      <c r="B677" s="441"/>
      <c r="C677" s="14" t="s">
        <v>103</v>
      </c>
      <c r="D677" s="14" t="s">
        <v>104</v>
      </c>
      <c r="E677" s="24">
        <v>642105</v>
      </c>
    </row>
    <row r="678" spans="1:5" ht="13.5" customHeight="1" collapsed="1" x14ac:dyDescent="0.25">
      <c r="A678" s="5"/>
      <c r="B678" s="441"/>
      <c r="C678" s="14" t="s">
        <v>105</v>
      </c>
      <c r="D678" s="14" t="s">
        <v>106</v>
      </c>
      <c r="E678" s="24">
        <v>549783</v>
      </c>
    </row>
    <row r="679" spans="1:5" ht="13.5" hidden="1" customHeight="1" outlineLevel="1" x14ac:dyDescent="0.25">
      <c r="A679" s="5"/>
      <c r="B679" s="441"/>
      <c r="C679" s="14" t="s">
        <v>107</v>
      </c>
      <c r="D679" s="14" t="s">
        <v>108</v>
      </c>
      <c r="E679" s="24"/>
    </row>
    <row r="680" spans="1:5" ht="13.5" customHeight="1" collapsed="1" x14ac:dyDescent="0.25">
      <c r="A680" s="5"/>
      <c r="B680" s="441"/>
      <c r="C680" s="14" t="s">
        <v>109</v>
      </c>
      <c r="D680" s="14" t="s">
        <v>110</v>
      </c>
      <c r="E680" s="24">
        <v>11149</v>
      </c>
    </row>
    <row r="681" spans="1:5" ht="14.25" customHeight="1" x14ac:dyDescent="0.25">
      <c r="A681" s="5"/>
      <c r="B681" s="441"/>
      <c r="C681" s="14" t="s">
        <v>111</v>
      </c>
      <c r="D681" s="14" t="s">
        <v>112</v>
      </c>
      <c r="E681" s="24">
        <v>80550</v>
      </c>
    </row>
    <row r="682" spans="1:5" ht="13.5" customHeight="1" x14ac:dyDescent="0.25">
      <c r="A682" s="5"/>
      <c r="B682" s="441"/>
      <c r="C682" s="14" t="s">
        <v>113</v>
      </c>
      <c r="D682" s="14" t="s">
        <v>114</v>
      </c>
      <c r="E682" s="24">
        <v>394991</v>
      </c>
    </row>
    <row r="683" spans="1:5" ht="13.5" customHeight="1" x14ac:dyDescent="0.25">
      <c r="A683" s="5"/>
      <c r="B683" s="441"/>
      <c r="C683" s="16" t="s">
        <v>115</v>
      </c>
      <c r="D683" s="16" t="s">
        <v>116</v>
      </c>
      <c r="E683" s="17"/>
    </row>
    <row r="684" spans="1:5" ht="13.5" customHeight="1" x14ac:dyDescent="0.25">
      <c r="A684" s="5"/>
      <c r="B684" s="453" t="s">
        <v>243</v>
      </c>
      <c r="C684" s="450" t="s">
        <v>244</v>
      </c>
      <c r="D684" s="450"/>
      <c r="E684" s="27">
        <v>345844</v>
      </c>
    </row>
    <row r="685" spans="1:5" ht="13.5" customHeight="1" x14ac:dyDescent="0.25">
      <c r="A685" s="5"/>
      <c r="B685" s="453"/>
      <c r="C685" s="451" t="s">
        <v>100</v>
      </c>
      <c r="D685" s="451"/>
      <c r="E685" s="28">
        <v>339622</v>
      </c>
    </row>
    <row r="686" spans="1:5" ht="14.25" customHeight="1" x14ac:dyDescent="0.25">
      <c r="A686" s="5"/>
      <c r="B686" s="453"/>
      <c r="C686" s="14" t="s">
        <v>101</v>
      </c>
      <c r="D686" s="14" t="s">
        <v>102</v>
      </c>
      <c r="E686" s="24">
        <v>314638</v>
      </c>
    </row>
    <row r="687" spans="1:5" ht="13.5" customHeight="1" collapsed="1" x14ac:dyDescent="0.25">
      <c r="A687" s="5"/>
      <c r="B687" s="453"/>
      <c r="C687" s="14" t="s">
        <v>103</v>
      </c>
      <c r="D687" s="14" t="s">
        <v>104</v>
      </c>
      <c r="E687" s="24">
        <v>24984</v>
      </c>
    </row>
    <row r="688" spans="1:5" ht="13.5" hidden="1" customHeight="1" outlineLevel="1" x14ac:dyDescent="0.25">
      <c r="A688" s="5"/>
      <c r="B688" s="453"/>
      <c r="C688" s="14" t="s">
        <v>105</v>
      </c>
      <c r="D688" s="14" t="s">
        <v>106</v>
      </c>
      <c r="E688" s="24"/>
    </row>
    <row r="689" spans="1:5" ht="13.5" hidden="1" customHeight="1" outlineLevel="1" x14ac:dyDescent="0.25">
      <c r="A689" s="5"/>
      <c r="B689" s="453"/>
      <c r="C689" s="14" t="s">
        <v>107</v>
      </c>
      <c r="D689" s="14" t="s">
        <v>108</v>
      </c>
      <c r="E689" s="24"/>
    </row>
    <row r="690" spans="1:5" ht="13.5" customHeight="1" collapsed="1" x14ac:dyDescent="0.25">
      <c r="A690" s="5"/>
      <c r="B690" s="453"/>
      <c r="C690" s="14" t="s">
        <v>109</v>
      </c>
      <c r="D690" s="14" t="s">
        <v>110</v>
      </c>
      <c r="E690" s="24">
        <v>6222</v>
      </c>
    </row>
    <row r="691" spans="1:5" ht="14.25" hidden="1" customHeight="1" outlineLevel="1" x14ac:dyDescent="0.25">
      <c r="A691" s="5"/>
      <c r="B691" s="453"/>
      <c r="C691" s="14" t="s">
        <v>111</v>
      </c>
      <c r="D691" s="14" t="s">
        <v>112</v>
      </c>
      <c r="E691" s="24"/>
    </row>
    <row r="692" spans="1:5" ht="13.5" hidden="1" customHeight="1" outlineLevel="1" x14ac:dyDescent="0.25">
      <c r="A692" s="5"/>
      <c r="B692" s="453"/>
      <c r="C692" s="14" t="s">
        <v>113</v>
      </c>
      <c r="D692" s="14" t="s">
        <v>114</v>
      </c>
      <c r="E692" s="24"/>
    </row>
    <row r="693" spans="1:5" ht="13.5" hidden="1" customHeight="1" outlineLevel="1" x14ac:dyDescent="0.25">
      <c r="A693" s="5"/>
      <c r="B693" s="453"/>
      <c r="C693" s="14" t="s">
        <v>115</v>
      </c>
      <c r="D693" s="14" t="s">
        <v>116</v>
      </c>
      <c r="E693" s="24"/>
    </row>
    <row r="694" spans="1:5" ht="13.5" customHeight="1" collapsed="1" x14ac:dyDescent="0.25">
      <c r="A694" s="5"/>
      <c r="B694" s="452" t="s">
        <v>245</v>
      </c>
      <c r="C694" s="451" t="s">
        <v>246</v>
      </c>
      <c r="D694" s="451"/>
      <c r="E694" s="28">
        <v>1679589</v>
      </c>
    </row>
    <row r="695" spans="1:5" ht="13.5" customHeight="1" x14ac:dyDescent="0.25">
      <c r="A695" s="5"/>
      <c r="B695" s="452"/>
      <c r="C695" s="451" t="s">
        <v>100</v>
      </c>
      <c r="D695" s="451"/>
      <c r="E695" s="28">
        <v>1674662</v>
      </c>
    </row>
    <row r="696" spans="1:5" ht="14.25" customHeight="1" x14ac:dyDescent="0.25">
      <c r="A696" s="5"/>
      <c r="B696" s="452"/>
      <c r="C696" s="14" t="s">
        <v>101</v>
      </c>
      <c r="D696" s="14" t="s">
        <v>102</v>
      </c>
      <c r="E696" s="24">
        <v>32217</v>
      </c>
    </row>
    <row r="697" spans="1:5" ht="13.5" customHeight="1" x14ac:dyDescent="0.25">
      <c r="A697" s="5"/>
      <c r="B697" s="452"/>
      <c r="C697" s="14" t="s">
        <v>103</v>
      </c>
      <c r="D697" s="14" t="s">
        <v>104</v>
      </c>
      <c r="E697" s="24">
        <v>617121</v>
      </c>
    </row>
    <row r="698" spans="1:5" ht="13.5" customHeight="1" collapsed="1" x14ac:dyDescent="0.25">
      <c r="A698" s="5"/>
      <c r="B698" s="452"/>
      <c r="C698" s="14" t="s">
        <v>105</v>
      </c>
      <c r="D698" s="14" t="s">
        <v>106</v>
      </c>
      <c r="E698" s="24">
        <v>549783</v>
      </c>
    </row>
    <row r="699" spans="1:5" ht="13.5" hidden="1" customHeight="1" outlineLevel="1" x14ac:dyDescent="0.25">
      <c r="A699" s="5"/>
      <c r="B699" s="452"/>
      <c r="C699" s="14" t="s">
        <v>107</v>
      </c>
      <c r="D699" s="14" t="s">
        <v>108</v>
      </c>
      <c r="E699" s="24"/>
    </row>
    <row r="700" spans="1:5" ht="13.5" customHeight="1" collapsed="1" x14ac:dyDescent="0.25">
      <c r="A700" s="5"/>
      <c r="B700" s="452"/>
      <c r="C700" s="14" t="s">
        <v>109</v>
      </c>
      <c r="D700" s="14" t="s">
        <v>110</v>
      </c>
      <c r="E700" s="24">
        <v>4927</v>
      </c>
    </row>
    <row r="701" spans="1:5" ht="14.25" customHeight="1" x14ac:dyDescent="0.25">
      <c r="A701" s="5"/>
      <c r="B701" s="452"/>
      <c r="C701" s="14" t="s">
        <v>111</v>
      </c>
      <c r="D701" s="14" t="s">
        <v>112</v>
      </c>
      <c r="E701" s="24">
        <v>80550</v>
      </c>
    </row>
    <row r="702" spans="1:5" ht="13.5" customHeight="1" collapsed="1" x14ac:dyDescent="0.25">
      <c r="A702" s="5"/>
      <c r="B702" s="452"/>
      <c r="C702" s="14" t="s">
        <v>113</v>
      </c>
      <c r="D702" s="14" t="s">
        <v>114</v>
      </c>
      <c r="E702" s="24">
        <v>394991</v>
      </c>
    </row>
    <row r="703" spans="1:5" ht="13.5" hidden="1" customHeight="1" outlineLevel="1" x14ac:dyDescent="0.25">
      <c r="A703" s="5"/>
      <c r="B703" s="452"/>
      <c r="C703" s="16" t="s">
        <v>115</v>
      </c>
      <c r="D703" s="16" t="s">
        <v>116</v>
      </c>
      <c r="E703" s="17"/>
    </row>
    <row r="704" spans="1:5" ht="13.5" customHeight="1" collapsed="1" x14ac:dyDescent="0.25">
      <c r="A704" s="5"/>
      <c r="B704" s="441" t="s">
        <v>247</v>
      </c>
      <c r="C704" s="444" t="s">
        <v>248</v>
      </c>
      <c r="D704" s="444"/>
      <c r="E704" s="22">
        <v>12451704</v>
      </c>
    </row>
    <row r="705" spans="1:5" ht="13.5" customHeight="1" x14ac:dyDescent="0.25">
      <c r="A705" s="5"/>
      <c r="B705" s="441"/>
      <c r="C705" s="445" t="s">
        <v>100</v>
      </c>
      <c r="D705" s="445"/>
      <c r="E705" s="23">
        <v>10212055</v>
      </c>
    </row>
    <row r="706" spans="1:5" ht="14.25" customHeight="1" x14ac:dyDescent="0.25">
      <c r="A706" s="5"/>
      <c r="B706" s="441"/>
      <c r="C706" s="14" t="s">
        <v>101</v>
      </c>
      <c r="D706" s="14" t="s">
        <v>102</v>
      </c>
      <c r="E706" s="24">
        <v>3807454</v>
      </c>
    </row>
    <row r="707" spans="1:5" ht="13.5" customHeight="1" x14ac:dyDescent="0.25">
      <c r="A707" s="5"/>
      <c r="B707" s="441"/>
      <c r="C707" s="14" t="s">
        <v>103</v>
      </c>
      <c r="D707" s="14" t="s">
        <v>104</v>
      </c>
      <c r="E707" s="24">
        <v>1761588</v>
      </c>
    </row>
    <row r="708" spans="1:5" ht="13.5" customHeight="1" collapsed="1" x14ac:dyDescent="0.25">
      <c r="A708" s="5"/>
      <c r="B708" s="441"/>
      <c r="C708" s="14" t="s">
        <v>105</v>
      </c>
      <c r="D708" s="14" t="s">
        <v>106</v>
      </c>
      <c r="E708" s="24">
        <v>76997</v>
      </c>
    </row>
    <row r="709" spans="1:5" ht="13.5" hidden="1" customHeight="1" outlineLevel="1" x14ac:dyDescent="0.25">
      <c r="A709" s="5"/>
      <c r="B709" s="441"/>
      <c r="C709" s="14" t="s">
        <v>107</v>
      </c>
      <c r="D709" s="14" t="s">
        <v>108</v>
      </c>
      <c r="E709" s="24">
        <v>0</v>
      </c>
    </row>
    <row r="710" spans="1:5" ht="13.5" customHeight="1" collapsed="1" x14ac:dyDescent="0.25">
      <c r="A710" s="5"/>
      <c r="B710" s="441"/>
      <c r="C710" s="14" t="s">
        <v>109</v>
      </c>
      <c r="D710" s="14" t="s">
        <v>110</v>
      </c>
      <c r="E710" s="24">
        <v>2239649</v>
      </c>
    </row>
    <row r="711" spans="1:5" ht="14.25" customHeight="1" x14ac:dyDescent="0.25">
      <c r="A711" s="5"/>
      <c r="B711" s="441"/>
      <c r="C711" s="14" t="s">
        <v>111</v>
      </c>
      <c r="D711" s="14" t="s">
        <v>112</v>
      </c>
      <c r="E711" s="24">
        <v>4562602</v>
      </c>
    </row>
    <row r="712" spans="1:5" ht="13.5" customHeight="1" collapsed="1" x14ac:dyDescent="0.25">
      <c r="A712" s="5"/>
      <c r="B712" s="441"/>
      <c r="C712" s="14" t="s">
        <v>113</v>
      </c>
      <c r="D712" s="14" t="s">
        <v>114</v>
      </c>
      <c r="E712" s="24">
        <v>3414</v>
      </c>
    </row>
    <row r="713" spans="1:5" ht="13.5" hidden="1" customHeight="1" outlineLevel="1" x14ac:dyDescent="0.25">
      <c r="A713" s="5"/>
      <c r="B713" s="441"/>
      <c r="C713" s="16" t="s">
        <v>115</v>
      </c>
      <c r="D713" s="16" t="s">
        <v>116</v>
      </c>
      <c r="E713" s="17">
        <v>0</v>
      </c>
    </row>
    <row r="714" spans="1:5" ht="13.5" hidden="1" customHeight="1" outlineLevel="1" x14ac:dyDescent="0.25">
      <c r="A714" s="5"/>
      <c r="B714" s="441" t="s">
        <v>54</v>
      </c>
      <c r="C714" s="448" t="s">
        <v>249</v>
      </c>
      <c r="D714" s="448"/>
      <c r="E714" s="25">
        <v>0</v>
      </c>
    </row>
    <row r="715" spans="1:5" ht="13.5" hidden="1" customHeight="1" outlineLevel="1" x14ac:dyDescent="0.25">
      <c r="A715" s="5"/>
      <c r="B715" s="441"/>
      <c r="C715" s="449" t="s">
        <v>100</v>
      </c>
      <c r="D715" s="449"/>
      <c r="E715" s="26">
        <v>0</v>
      </c>
    </row>
    <row r="716" spans="1:5" ht="14.25" hidden="1" customHeight="1" outlineLevel="1" x14ac:dyDescent="0.25">
      <c r="A716" s="5"/>
      <c r="B716" s="441"/>
      <c r="C716" s="14" t="s">
        <v>101</v>
      </c>
      <c r="D716" s="14" t="s">
        <v>102</v>
      </c>
      <c r="E716" s="24"/>
    </row>
    <row r="717" spans="1:5" ht="13.5" hidden="1" customHeight="1" outlineLevel="1" x14ac:dyDescent="0.25">
      <c r="A717" s="5"/>
      <c r="B717" s="441"/>
      <c r="C717" s="14" t="s">
        <v>103</v>
      </c>
      <c r="D717" s="14" t="s">
        <v>104</v>
      </c>
      <c r="E717" s="24"/>
    </row>
    <row r="718" spans="1:5" ht="13.5" hidden="1" customHeight="1" outlineLevel="1" x14ac:dyDescent="0.25">
      <c r="A718" s="5"/>
      <c r="B718" s="441"/>
      <c r="C718" s="14" t="s">
        <v>105</v>
      </c>
      <c r="D718" s="14" t="s">
        <v>106</v>
      </c>
      <c r="E718" s="24"/>
    </row>
    <row r="719" spans="1:5" ht="13.5" hidden="1" customHeight="1" outlineLevel="1" x14ac:dyDescent="0.25">
      <c r="A719" s="5"/>
      <c r="B719" s="441"/>
      <c r="C719" s="14" t="s">
        <v>107</v>
      </c>
      <c r="D719" s="14" t="s">
        <v>108</v>
      </c>
      <c r="E719" s="24"/>
    </row>
    <row r="720" spans="1:5" ht="13.5" hidden="1" customHeight="1" outlineLevel="1" x14ac:dyDescent="0.25">
      <c r="A720" s="5"/>
      <c r="B720" s="441"/>
      <c r="C720" s="14" t="s">
        <v>109</v>
      </c>
      <c r="D720" s="14" t="s">
        <v>110</v>
      </c>
      <c r="E720" s="24"/>
    </row>
    <row r="721" spans="1:5" ht="14.25" hidden="1" customHeight="1" outlineLevel="1" x14ac:dyDescent="0.25">
      <c r="A721" s="5"/>
      <c r="B721" s="441"/>
      <c r="C721" s="14" t="s">
        <v>111</v>
      </c>
      <c r="D721" s="14" t="s">
        <v>112</v>
      </c>
      <c r="E721" s="24"/>
    </row>
    <row r="722" spans="1:5" ht="13.5" hidden="1" customHeight="1" outlineLevel="1" x14ac:dyDescent="0.25">
      <c r="A722" s="5"/>
      <c r="B722" s="441"/>
      <c r="C722" s="14" t="s">
        <v>113</v>
      </c>
      <c r="D722" s="14" t="s">
        <v>114</v>
      </c>
      <c r="E722" s="24"/>
    </row>
    <row r="723" spans="1:5" ht="13.5" hidden="1" customHeight="1" outlineLevel="1" x14ac:dyDescent="0.25">
      <c r="A723" s="5"/>
      <c r="B723" s="441"/>
      <c r="C723" s="16" t="s">
        <v>115</v>
      </c>
      <c r="D723" s="16" t="s">
        <v>116</v>
      </c>
      <c r="E723" s="17"/>
    </row>
    <row r="724" spans="1:5" ht="13.5" customHeight="1" collapsed="1" x14ac:dyDescent="0.25">
      <c r="A724" s="5"/>
      <c r="B724" s="441" t="s">
        <v>250</v>
      </c>
      <c r="C724" s="448" t="s">
        <v>251</v>
      </c>
      <c r="D724" s="448"/>
      <c r="E724" s="25">
        <v>3204921</v>
      </c>
    </row>
    <row r="725" spans="1:5" ht="13.5" customHeight="1" x14ac:dyDescent="0.25">
      <c r="A725" s="5"/>
      <c r="B725" s="441"/>
      <c r="C725" s="449" t="s">
        <v>100</v>
      </c>
      <c r="D725" s="449"/>
      <c r="E725" s="26">
        <v>3158727</v>
      </c>
    </row>
    <row r="726" spans="1:5" ht="14.25" customHeight="1" x14ac:dyDescent="0.25">
      <c r="A726" s="5"/>
      <c r="B726" s="441"/>
      <c r="C726" s="14" t="s">
        <v>101</v>
      </c>
      <c r="D726" s="14" t="s">
        <v>102</v>
      </c>
      <c r="E726" s="24">
        <v>1297032</v>
      </c>
    </row>
    <row r="727" spans="1:5" ht="13.5" customHeight="1" collapsed="1" x14ac:dyDescent="0.25">
      <c r="A727" s="5"/>
      <c r="B727" s="441"/>
      <c r="C727" s="14" t="s">
        <v>103</v>
      </c>
      <c r="D727" s="14" t="s">
        <v>104</v>
      </c>
      <c r="E727" s="24">
        <v>1075594</v>
      </c>
    </row>
    <row r="728" spans="1:5" ht="13.5" hidden="1" customHeight="1" outlineLevel="1" x14ac:dyDescent="0.25">
      <c r="A728" s="5"/>
      <c r="B728" s="441"/>
      <c r="C728" s="14" t="s">
        <v>105</v>
      </c>
      <c r="D728" s="14" t="s">
        <v>106</v>
      </c>
      <c r="E728" s="24"/>
    </row>
    <row r="729" spans="1:5" ht="13.5" hidden="1" customHeight="1" outlineLevel="1" x14ac:dyDescent="0.25">
      <c r="A729" s="5"/>
      <c r="B729" s="441"/>
      <c r="C729" s="14" t="s">
        <v>107</v>
      </c>
      <c r="D729" s="14" t="s">
        <v>108</v>
      </c>
      <c r="E729" s="24"/>
    </row>
    <row r="730" spans="1:5" ht="13.5" customHeight="1" collapsed="1" x14ac:dyDescent="0.25">
      <c r="A730" s="5"/>
      <c r="B730" s="441"/>
      <c r="C730" s="14" t="s">
        <v>109</v>
      </c>
      <c r="D730" s="14" t="s">
        <v>110</v>
      </c>
      <c r="E730" s="24">
        <v>46194</v>
      </c>
    </row>
    <row r="731" spans="1:5" ht="14.25" customHeight="1" collapsed="1" x14ac:dyDescent="0.25">
      <c r="A731" s="5"/>
      <c r="B731" s="441"/>
      <c r="C731" s="14" t="s">
        <v>111</v>
      </c>
      <c r="D731" s="14" t="s">
        <v>112</v>
      </c>
      <c r="E731" s="24">
        <v>786101</v>
      </c>
    </row>
    <row r="732" spans="1:5" ht="13.5" hidden="1" customHeight="1" outlineLevel="1" x14ac:dyDescent="0.25">
      <c r="A732" s="5"/>
      <c r="B732" s="441"/>
      <c r="C732" s="14" t="s">
        <v>113</v>
      </c>
      <c r="D732" s="14" t="s">
        <v>114</v>
      </c>
      <c r="E732" s="24"/>
    </row>
    <row r="733" spans="1:5" ht="13.5" hidden="1" customHeight="1" outlineLevel="1" x14ac:dyDescent="0.25">
      <c r="A733" s="5"/>
      <c r="B733" s="441"/>
      <c r="C733" s="16" t="s">
        <v>115</v>
      </c>
      <c r="D733" s="16" t="s">
        <v>116</v>
      </c>
      <c r="E733" s="17"/>
    </row>
    <row r="734" spans="1:5" ht="13.5" customHeight="1" collapsed="1" x14ac:dyDescent="0.25">
      <c r="A734" s="5"/>
      <c r="B734" s="441" t="s">
        <v>252</v>
      </c>
      <c r="C734" s="448" t="s">
        <v>253</v>
      </c>
      <c r="D734" s="448"/>
      <c r="E734" s="25">
        <v>1163947</v>
      </c>
    </row>
    <row r="735" spans="1:5" ht="13.5" customHeight="1" x14ac:dyDescent="0.25">
      <c r="A735" s="5"/>
      <c r="B735" s="441"/>
      <c r="C735" s="449" t="s">
        <v>100</v>
      </c>
      <c r="D735" s="449"/>
      <c r="E735" s="26">
        <v>1160147</v>
      </c>
    </row>
    <row r="736" spans="1:5" ht="14.25" customHeight="1" x14ac:dyDescent="0.25">
      <c r="A736" s="5"/>
      <c r="B736" s="441"/>
      <c r="C736" s="14" t="s">
        <v>101</v>
      </c>
      <c r="D736" s="14" t="s">
        <v>102</v>
      </c>
      <c r="E736" s="24">
        <v>331594</v>
      </c>
    </row>
    <row r="737" spans="1:5" ht="13.5" customHeight="1" collapsed="1" x14ac:dyDescent="0.25">
      <c r="A737" s="5"/>
      <c r="B737" s="441"/>
      <c r="C737" s="14" t="s">
        <v>103</v>
      </c>
      <c r="D737" s="14" t="s">
        <v>104</v>
      </c>
      <c r="E737" s="24">
        <v>258577</v>
      </c>
    </row>
    <row r="738" spans="1:5" ht="13.5" hidden="1" customHeight="1" outlineLevel="1" x14ac:dyDescent="0.25">
      <c r="A738" s="5"/>
      <c r="B738" s="441"/>
      <c r="C738" s="14" t="s">
        <v>105</v>
      </c>
      <c r="D738" s="14" t="s">
        <v>106</v>
      </c>
      <c r="E738" s="24"/>
    </row>
    <row r="739" spans="1:5" ht="13.5" hidden="1" customHeight="1" outlineLevel="1" x14ac:dyDescent="0.25">
      <c r="A739" s="5"/>
      <c r="B739" s="441"/>
      <c r="C739" s="14" t="s">
        <v>107</v>
      </c>
      <c r="D739" s="14" t="s">
        <v>108</v>
      </c>
      <c r="E739" s="24"/>
    </row>
    <row r="740" spans="1:5" ht="13.5" customHeight="1" collapsed="1" x14ac:dyDescent="0.25">
      <c r="A740" s="5"/>
      <c r="B740" s="441"/>
      <c r="C740" s="14" t="s">
        <v>109</v>
      </c>
      <c r="D740" s="14" t="s">
        <v>110</v>
      </c>
      <c r="E740" s="24">
        <v>3800</v>
      </c>
    </row>
    <row r="741" spans="1:5" ht="14.25" customHeight="1" collapsed="1" x14ac:dyDescent="0.25">
      <c r="A741" s="5"/>
      <c r="B741" s="441"/>
      <c r="C741" s="14" t="s">
        <v>111</v>
      </c>
      <c r="D741" s="14" t="s">
        <v>112</v>
      </c>
      <c r="E741" s="24">
        <v>569976</v>
      </c>
    </row>
    <row r="742" spans="1:5" ht="13.5" hidden="1" customHeight="1" outlineLevel="1" x14ac:dyDescent="0.25">
      <c r="A742" s="5"/>
      <c r="B742" s="441"/>
      <c r="C742" s="14" t="s">
        <v>113</v>
      </c>
      <c r="D742" s="14" t="s">
        <v>114</v>
      </c>
      <c r="E742" s="24"/>
    </row>
    <row r="743" spans="1:5" ht="13.5" hidden="1" customHeight="1" outlineLevel="1" x14ac:dyDescent="0.25">
      <c r="A743" s="5"/>
      <c r="B743" s="441"/>
      <c r="C743" s="16" t="s">
        <v>115</v>
      </c>
      <c r="D743" s="16" t="s">
        <v>116</v>
      </c>
      <c r="E743" s="17"/>
    </row>
    <row r="744" spans="1:5" ht="13.5" customHeight="1" collapsed="1" x14ac:dyDescent="0.25">
      <c r="A744" s="5"/>
      <c r="B744" s="441" t="s">
        <v>254</v>
      </c>
      <c r="C744" s="448" t="s">
        <v>255</v>
      </c>
      <c r="D744" s="448"/>
      <c r="E744" s="25">
        <v>1296457</v>
      </c>
    </row>
    <row r="745" spans="1:5" ht="13.5" customHeight="1" collapsed="1" x14ac:dyDescent="0.25">
      <c r="A745" s="5"/>
      <c r="B745" s="441"/>
      <c r="C745" s="449" t="s">
        <v>100</v>
      </c>
      <c r="D745" s="449"/>
      <c r="E745" s="26">
        <v>1296457</v>
      </c>
    </row>
    <row r="746" spans="1:5" ht="14.25" hidden="1" customHeight="1" outlineLevel="1" x14ac:dyDescent="0.25">
      <c r="A746" s="5"/>
      <c r="B746" s="441"/>
      <c r="C746" s="14" t="s">
        <v>101</v>
      </c>
      <c r="D746" s="14" t="s">
        <v>102</v>
      </c>
      <c r="E746" s="24"/>
    </row>
    <row r="747" spans="1:5" ht="13.5" hidden="1" customHeight="1" outlineLevel="1" x14ac:dyDescent="0.25">
      <c r="A747" s="5"/>
      <c r="B747" s="441"/>
      <c r="C747" s="14" t="s">
        <v>103</v>
      </c>
      <c r="D747" s="14" t="s">
        <v>104</v>
      </c>
      <c r="E747" s="24"/>
    </row>
    <row r="748" spans="1:5" ht="13.5" hidden="1" customHeight="1" outlineLevel="1" x14ac:dyDescent="0.25">
      <c r="A748" s="5"/>
      <c r="B748" s="441"/>
      <c r="C748" s="14" t="s">
        <v>105</v>
      </c>
      <c r="D748" s="14" t="s">
        <v>106</v>
      </c>
      <c r="E748" s="24"/>
    </row>
    <row r="749" spans="1:5" ht="13.5" hidden="1" customHeight="1" outlineLevel="1" x14ac:dyDescent="0.25">
      <c r="A749" s="5"/>
      <c r="B749" s="441"/>
      <c r="C749" s="14" t="s">
        <v>107</v>
      </c>
      <c r="D749" s="14" t="s">
        <v>108</v>
      </c>
      <c r="E749" s="24"/>
    </row>
    <row r="750" spans="1:5" ht="13.5" hidden="1" customHeight="1" outlineLevel="1" x14ac:dyDescent="0.25">
      <c r="A750" s="5"/>
      <c r="B750" s="441"/>
      <c r="C750" s="14" t="s">
        <v>109</v>
      </c>
      <c r="D750" s="14" t="s">
        <v>110</v>
      </c>
      <c r="E750" s="24"/>
    </row>
    <row r="751" spans="1:5" ht="14.25" customHeight="1" collapsed="1" x14ac:dyDescent="0.25">
      <c r="A751" s="5"/>
      <c r="B751" s="441"/>
      <c r="C751" s="14" t="s">
        <v>111</v>
      </c>
      <c r="D751" s="14" t="s">
        <v>112</v>
      </c>
      <c r="E751" s="24">
        <v>1296457</v>
      </c>
    </row>
    <row r="752" spans="1:5" ht="13.5" hidden="1" customHeight="1" outlineLevel="1" x14ac:dyDescent="0.25">
      <c r="A752" s="5"/>
      <c r="B752" s="441"/>
      <c r="C752" s="14" t="s">
        <v>113</v>
      </c>
      <c r="D752" s="14" t="s">
        <v>114</v>
      </c>
      <c r="E752" s="24"/>
    </row>
    <row r="753" spans="1:5" ht="13.5" hidden="1" customHeight="1" outlineLevel="1" x14ac:dyDescent="0.25">
      <c r="A753" s="5"/>
      <c r="B753" s="441"/>
      <c r="C753" s="16" t="s">
        <v>115</v>
      </c>
      <c r="D753" s="16" t="s">
        <v>116</v>
      </c>
      <c r="E753" s="17"/>
    </row>
    <row r="754" spans="1:5" ht="13.5" customHeight="1" collapsed="1" x14ac:dyDescent="0.25">
      <c r="A754" s="5"/>
      <c r="B754" s="441" t="s">
        <v>256</v>
      </c>
      <c r="C754" s="448" t="s">
        <v>257</v>
      </c>
      <c r="D754" s="448"/>
      <c r="E754" s="25">
        <v>367084</v>
      </c>
    </row>
    <row r="755" spans="1:5" ht="13.5" customHeight="1" collapsed="1" x14ac:dyDescent="0.25">
      <c r="A755" s="5"/>
      <c r="B755" s="441"/>
      <c r="C755" s="449" t="s">
        <v>100</v>
      </c>
      <c r="D755" s="449"/>
      <c r="E755" s="26">
        <v>367084</v>
      </c>
    </row>
    <row r="756" spans="1:5" ht="14.25" hidden="1" customHeight="1" outlineLevel="1" x14ac:dyDescent="0.25">
      <c r="A756" s="5"/>
      <c r="B756" s="441"/>
      <c r="C756" s="14" t="s">
        <v>101</v>
      </c>
      <c r="D756" s="14" t="s">
        <v>102</v>
      </c>
      <c r="E756" s="24"/>
    </row>
    <row r="757" spans="1:5" ht="13.5" hidden="1" customHeight="1" outlineLevel="1" x14ac:dyDescent="0.25">
      <c r="A757" s="5"/>
      <c r="B757" s="441"/>
      <c r="C757" s="14" t="s">
        <v>103</v>
      </c>
      <c r="D757" s="14" t="s">
        <v>104</v>
      </c>
      <c r="E757" s="24"/>
    </row>
    <row r="758" spans="1:5" ht="13.5" hidden="1" customHeight="1" outlineLevel="1" x14ac:dyDescent="0.25">
      <c r="A758" s="5"/>
      <c r="B758" s="441"/>
      <c r="C758" s="14" t="s">
        <v>105</v>
      </c>
      <c r="D758" s="14" t="s">
        <v>106</v>
      </c>
      <c r="E758" s="24"/>
    </row>
    <row r="759" spans="1:5" ht="13.5" hidden="1" customHeight="1" outlineLevel="1" x14ac:dyDescent="0.25">
      <c r="A759" s="5"/>
      <c r="B759" s="441"/>
      <c r="C759" s="14" t="s">
        <v>107</v>
      </c>
      <c r="D759" s="14" t="s">
        <v>108</v>
      </c>
      <c r="E759" s="24"/>
    </row>
    <row r="760" spans="1:5" ht="13.5" hidden="1" customHeight="1" outlineLevel="1" x14ac:dyDescent="0.25">
      <c r="A760" s="5"/>
      <c r="B760" s="441"/>
      <c r="C760" s="14" t="s">
        <v>109</v>
      </c>
      <c r="D760" s="14" t="s">
        <v>110</v>
      </c>
      <c r="E760" s="24"/>
    </row>
    <row r="761" spans="1:5" ht="14.25" customHeight="1" collapsed="1" x14ac:dyDescent="0.25">
      <c r="A761" s="5"/>
      <c r="B761" s="441"/>
      <c r="C761" s="14" t="s">
        <v>111</v>
      </c>
      <c r="D761" s="14" t="s">
        <v>112</v>
      </c>
      <c r="E761" s="24">
        <v>367084</v>
      </c>
    </row>
    <row r="762" spans="1:5" ht="13.5" hidden="1" customHeight="1" outlineLevel="1" x14ac:dyDescent="0.25">
      <c r="A762" s="5"/>
      <c r="B762" s="441"/>
      <c r="C762" s="14" t="s">
        <v>113</v>
      </c>
      <c r="D762" s="14" t="s">
        <v>114</v>
      </c>
      <c r="E762" s="24"/>
    </row>
    <row r="763" spans="1:5" ht="13.5" hidden="1" customHeight="1" outlineLevel="1" x14ac:dyDescent="0.25">
      <c r="A763" s="5"/>
      <c r="B763" s="441"/>
      <c r="C763" s="16" t="s">
        <v>115</v>
      </c>
      <c r="D763" s="16" t="s">
        <v>116</v>
      </c>
      <c r="E763" s="17"/>
    </row>
    <row r="764" spans="1:5" ht="13.5" customHeight="1" collapsed="1" x14ac:dyDescent="0.25">
      <c r="A764" s="5"/>
      <c r="B764" s="441" t="s">
        <v>258</v>
      </c>
      <c r="C764" s="448" t="s">
        <v>259</v>
      </c>
      <c r="D764" s="448"/>
      <c r="E764" s="25">
        <v>6419295</v>
      </c>
    </row>
    <row r="765" spans="1:5" ht="13.5" customHeight="1" x14ac:dyDescent="0.25">
      <c r="A765" s="5"/>
      <c r="B765" s="441"/>
      <c r="C765" s="449" t="s">
        <v>100</v>
      </c>
      <c r="D765" s="449"/>
      <c r="E765" s="26">
        <v>4229640</v>
      </c>
    </row>
    <row r="766" spans="1:5" ht="14.25" customHeight="1" x14ac:dyDescent="0.25">
      <c r="A766" s="5"/>
      <c r="B766" s="441"/>
      <c r="C766" s="14" t="s">
        <v>101</v>
      </c>
      <c r="D766" s="14" t="s">
        <v>102</v>
      </c>
      <c r="E766" s="24">
        <v>2178828</v>
      </c>
    </row>
    <row r="767" spans="1:5" ht="13.5" customHeight="1" x14ac:dyDescent="0.25">
      <c r="A767" s="5"/>
      <c r="B767" s="441"/>
      <c r="C767" s="14" t="s">
        <v>103</v>
      </c>
      <c r="D767" s="14" t="s">
        <v>104</v>
      </c>
      <c r="E767" s="24">
        <v>427417</v>
      </c>
    </row>
    <row r="768" spans="1:5" ht="13.5" customHeight="1" x14ac:dyDescent="0.25">
      <c r="A768" s="5"/>
      <c r="B768" s="441"/>
      <c r="C768" s="14" t="s">
        <v>105</v>
      </c>
      <c r="D768" s="14" t="s">
        <v>106</v>
      </c>
      <c r="E768" s="24">
        <v>76997</v>
      </c>
    </row>
    <row r="769" spans="1:5" ht="13.5" customHeight="1" x14ac:dyDescent="0.25">
      <c r="A769" s="5"/>
      <c r="B769" s="441"/>
      <c r="C769" s="14" t="s">
        <v>107</v>
      </c>
      <c r="D769" s="14" t="s">
        <v>108</v>
      </c>
      <c r="E769" s="24"/>
    </row>
    <row r="770" spans="1:5" ht="13.5" customHeight="1" x14ac:dyDescent="0.25">
      <c r="A770" s="5"/>
      <c r="B770" s="441"/>
      <c r="C770" s="14" t="s">
        <v>109</v>
      </c>
      <c r="D770" s="14" t="s">
        <v>110</v>
      </c>
      <c r="E770" s="24">
        <v>2189655</v>
      </c>
    </row>
    <row r="771" spans="1:5" ht="14.25" customHeight="1" x14ac:dyDescent="0.25">
      <c r="A771" s="5"/>
      <c r="B771" s="441"/>
      <c r="C771" s="14" t="s">
        <v>111</v>
      </c>
      <c r="D771" s="14" t="s">
        <v>112</v>
      </c>
      <c r="E771" s="24">
        <v>1542984</v>
      </c>
    </row>
    <row r="772" spans="1:5" ht="13.5" customHeight="1" x14ac:dyDescent="0.25">
      <c r="A772" s="5"/>
      <c r="B772" s="441"/>
      <c r="C772" s="14" t="s">
        <v>113</v>
      </c>
      <c r="D772" s="14" t="s">
        <v>114</v>
      </c>
      <c r="E772" s="24">
        <v>3414</v>
      </c>
    </row>
    <row r="773" spans="1:5" ht="13.5" customHeight="1" x14ac:dyDescent="0.25">
      <c r="A773" s="5"/>
      <c r="B773" s="441"/>
      <c r="C773" s="16" t="s">
        <v>115</v>
      </c>
      <c r="D773" s="16" t="s">
        <v>116</v>
      </c>
      <c r="E773" s="17"/>
    </row>
    <row r="774" spans="1:5" ht="19.5" customHeight="1" x14ac:dyDescent="0.25">
      <c r="A774" s="5"/>
      <c r="B774" s="440" t="s">
        <v>260</v>
      </c>
      <c r="C774" s="440"/>
      <c r="D774" s="440"/>
      <c r="E774" s="12" t="s">
        <v>261</v>
      </c>
    </row>
    <row r="775" spans="1:5" ht="13.5" customHeight="1" x14ac:dyDescent="0.25">
      <c r="A775" s="5"/>
      <c r="B775" s="464">
        <v>2023</v>
      </c>
      <c r="C775" s="442" t="s">
        <v>100</v>
      </c>
      <c r="D775" s="442"/>
      <c r="E775" s="13">
        <v>100854190</v>
      </c>
    </row>
    <row r="776" spans="1:5" ht="13.5" customHeight="1" x14ac:dyDescent="0.25">
      <c r="A776" s="5"/>
      <c r="B776" s="464"/>
      <c r="C776" s="29" t="s">
        <v>101</v>
      </c>
      <c r="D776" s="29" t="s">
        <v>102</v>
      </c>
      <c r="E776" s="24">
        <v>56413475</v>
      </c>
    </row>
    <row r="777" spans="1:5" ht="14.25" customHeight="1" x14ac:dyDescent="0.25">
      <c r="A777" s="5"/>
      <c r="B777" s="464"/>
      <c r="C777" s="29" t="s">
        <v>103</v>
      </c>
      <c r="D777" s="29" t="s">
        <v>104</v>
      </c>
      <c r="E777" s="24">
        <v>31929094</v>
      </c>
    </row>
    <row r="778" spans="1:5" ht="13.5" customHeight="1" x14ac:dyDescent="0.25">
      <c r="A778" s="5"/>
      <c r="B778" s="464"/>
      <c r="C778" s="29" t="s">
        <v>105</v>
      </c>
      <c r="D778" s="29" t="s">
        <v>106</v>
      </c>
      <c r="E778" s="24">
        <v>5446794</v>
      </c>
    </row>
    <row r="779" spans="1:5" ht="13.5" customHeight="1" x14ac:dyDescent="0.25">
      <c r="A779" s="5"/>
      <c r="B779" s="464"/>
      <c r="C779" s="29" t="s">
        <v>107</v>
      </c>
      <c r="D779" s="29" t="s">
        <v>108</v>
      </c>
      <c r="E779" s="24">
        <v>1550236</v>
      </c>
    </row>
    <row r="780" spans="1:5" ht="13.5" customHeight="1" x14ac:dyDescent="0.25">
      <c r="A780" s="5"/>
      <c r="B780" s="464"/>
      <c r="C780" s="29" t="s">
        <v>109</v>
      </c>
      <c r="D780" s="29" t="s">
        <v>110</v>
      </c>
      <c r="E780" s="24">
        <v>31173049</v>
      </c>
    </row>
    <row r="781" spans="1:5" ht="13.5" customHeight="1" x14ac:dyDescent="0.25">
      <c r="A781" s="5"/>
      <c r="B781" s="464"/>
      <c r="C781" s="29" t="s">
        <v>111</v>
      </c>
      <c r="D781" s="29" t="s">
        <v>112</v>
      </c>
      <c r="E781" s="24">
        <v>4845998</v>
      </c>
    </row>
    <row r="782" spans="1:5" ht="14.25" customHeight="1" x14ac:dyDescent="0.25">
      <c r="A782" s="5"/>
      <c r="B782" s="464"/>
      <c r="C782" s="29" t="s">
        <v>113</v>
      </c>
      <c r="D782" s="29" t="s">
        <v>114</v>
      </c>
      <c r="E782" s="24">
        <v>668593</v>
      </c>
    </row>
    <row r="783" spans="1:5" ht="13.5" customHeight="1" x14ac:dyDescent="0.25">
      <c r="A783" s="5"/>
      <c r="B783" s="464"/>
      <c r="C783" s="30" t="s">
        <v>115</v>
      </c>
      <c r="D783" s="30" t="s">
        <v>116</v>
      </c>
      <c r="E783" s="17">
        <v>71</v>
      </c>
    </row>
    <row r="784" spans="1:5" ht="19.5" customHeight="1" x14ac:dyDescent="0.25">
      <c r="A784" s="5"/>
      <c r="B784" s="465" t="s">
        <v>262</v>
      </c>
      <c r="C784" s="465"/>
      <c r="D784" s="465"/>
      <c r="E784" s="31">
        <v>-7259558</v>
      </c>
    </row>
    <row r="785" spans="1:5" ht="13.5" customHeight="1" x14ac:dyDescent="0.25">
      <c r="A785" s="5"/>
      <c r="B785" s="464">
        <v>2023</v>
      </c>
      <c r="C785" s="466" t="s">
        <v>263</v>
      </c>
      <c r="D785" s="466"/>
      <c r="E785" s="435">
        <v>-7424585</v>
      </c>
    </row>
    <row r="786" spans="1:5" ht="13.5" customHeight="1" x14ac:dyDescent="0.25">
      <c r="A786" s="5"/>
      <c r="B786" s="464"/>
      <c r="C786" s="455" t="s">
        <v>264</v>
      </c>
      <c r="D786" s="455"/>
      <c r="E786" s="434">
        <v>3969807</v>
      </c>
    </row>
    <row r="787" spans="1:5" ht="14.25" customHeight="1" x14ac:dyDescent="0.25">
      <c r="A787" s="5"/>
      <c r="B787" s="464"/>
      <c r="C787" s="455" t="s">
        <v>265</v>
      </c>
      <c r="D787" s="455"/>
      <c r="E787" s="434">
        <v>6328</v>
      </c>
    </row>
    <row r="788" spans="1:5" ht="13.5" customHeight="1" x14ac:dyDescent="0.25">
      <c r="A788" s="5"/>
      <c r="B788" s="464"/>
      <c r="C788" s="455" t="s">
        <v>266</v>
      </c>
      <c r="D788" s="455"/>
      <c r="E788" s="434">
        <v>-11400720</v>
      </c>
    </row>
    <row r="789" spans="1:5" ht="13.5" customHeight="1" x14ac:dyDescent="0.25">
      <c r="A789" s="5"/>
      <c r="B789" s="464"/>
      <c r="C789" s="467" t="s">
        <v>267</v>
      </c>
      <c r="D789" s="467"/>
      <c r="E789" s="437">
        <v>165027</v>
      </c>
    </row>
    <row r="790" spans="1:5" ht="13.5" customHeight="1" x14ac:dyDescent="0.25">
      <c r="A790" s="5"/>
      <c r="B790" s="464"/>
      <c r="C790" s="455" t="s">
        <v>268</v>
      </c>
      <c r="D790" s="455"/>
      <c r="E790" s="434">
        <v>83565</v>
      </c>
    </row>
    <row r="791" spans="1:5" ht="13.5" customHeight="1" x14ac:dyDescent="0.25">
      <c r="A791" s="5"/>
      <c r="B791" s="464"/>
      <c r="C791" s="455" t="s">
        <v>269</v>
      </c>
      <c r="D791" s="455"/>
      <c r="E791" s="32">
        <v>0</v>
      </c>
    </row>
    <row r="792" spans="1:5" ht="14.25" customHeight="1" x14ac:dyDescent="0.25">
      <c r="A792" s="5"/>
      <c r="B792" s="464"/>
      <c r="C792" s="457" t="s">
        <v>270</v>
      </c>
      <c r="D792" s="457"/>
      <c r="E792" s="436">
        <v>81462</v>
      </c>
    </row>
    <row r="793" spans="1:5" ht="19.5" customHeight="1" x14ac:dyDescent="0.25">
      <c r="A793" s="5"/>
      <c r="B793" s="461" t="s">
        <v>271</v>
      </c>
      <c r="C793" s="461"/>
      <c r="D793" s="461"/>
      <c r="E793" s="33" t="s">
        <v>272</v>
      </c>
    </row>
    <row r="794" spans="1:5" ht="19.5" customHeight="1" x14ac:dyDescent="0.25">
      <c r="A794" s="5"/>
      <c r="B794" s="462" t="s">
        <v>273</v>
      </c>
      <c r="C794" s="462"/>
      <c r="D794" s="462"/>
      <c r="E794" s="34" t="s">
        <v>274</v>
      </c>
    </row>
    <row r="795" spans="1:5" ht="19.5" customHeight="1" x14ac:dyDescent="0.25">
      <c r="A795" s="5"/>
      <c r="B795" s="463" t="s">
        <v>275</v>
      </c>
      <c r="C795" s="463"/>
      <c r="D795" s="463"/>
      <c r="E795" s="35" t="s">
        <v>276</v>
      </c>
    </row>
  </sheetData>
  <mergeCells count="255">
    <mergeCell ref="C790:D790"/>
    <mergeCell ref="C791:D791"/>
    <mergeCell ref="C792:D792"/>
    <mergeCell ref="B793:D793"/>
    <mergeCell ref="B794:D794"/>
    <mergeCell ref="B795:D795"/>
    <mergeCell ref="B774:D774"/>
    <mergeCell ref="B775:B783"/>
    <mergeCell ref="C775:D775"/>
    <mergeCell ref="B784:D784"/>
    <mergeCell ref="B785:B792"/>
    <mergeCell ref="C785:D785"/>
    <mergeCell ref="C786:D786"/>
    <mergeCell ref="C787:D787"/>
    <mergeCell ref="C788:D788"/>
    <mergeCell ref="C789:D789"/>
    <mergeCell ref="B754:B763"/>
    <mergeCell ref="C754:D754"/>
    <mergeCell ref="C755:D755"/>
    <mergeCell ref="B764:B773"/>
    <mergeCell ref="C764:D764"/>
    <mergeCell ref="C765:D765"/>
    <mergeCell ref="B734:B743"/>
    <mergeCell ref="C734:D734"/>
    <mergeCell ref="C735:D735"/>
    <mergeCell ref="B744:B753"/>
    <mergeCell ref="C744:D744"/>
    <mergeCell ref="C745:D745"/>
    <mergeCell ref="B714:B723"/>
    <mergeCell ref="C714:D714"/>
    <mergeCell ref="C715:D715"/>
    <mergeCell ref="B724:B733"/>
    <mergeCell ref="C724:D724"/>
    <mergeCell ref="C725:D725"/>
    <mergeCell ref="B694:B703"/>
    <mergeCell ref="C694:D694"/>
    <mergeCell ref="C695:D695"/>
    <mergeCell ref="B704:B713"/>
    <mergeCell ref="C704:D704"/>
    <mergeCell ref="C705:D705"/>
    <mergeCell ref="B674:B683"/>
    <mergeCell ref="C674:D674"/>
    <mergeCell ref="C675:D675"/>
    <mergeCell ref="B684:B693"/>
    <mergeCell ref="C684:D684"/>
    <mergeCell ref="C685:D685"/>
    <mergeCell ref="B654:B663"/>
    <mergeCell ref="C654:D654"/>
    <mergeCell ref="C655:D655"/>
    <mergeCell ref="B664:B673"/>
    <mergeCell ref="C664:D664"/>
    <mergeCell ref="C665:D665"/>
    <mergeCell ref="B634:B643"/>
    <mergeCell ref="C634:D634"/>
    <mergeCell ref="C635:D635"/>
    <mergeCell ref="B644:B653"/>
    <mergeCell ref="C644:D644"/>
    <mergeCell ref="C645:D645"/>
    <mergeCell ref="B614:B623"/>
    <mergeCell ref="C614:D614"/>
    <mergeCell ref="C615:D615"/>
    <mergeCell ref="B624:B633"/>
    <mergeCell ref="C624:D624"/>
    <mergeCell ref="C625:D625"/>
    <mergeCell ref="B594:B603"/>
    <mergeCell ref="C594:D594"/>
    <mergeCell ref="C595:D595"/>
    <mergeCell ref="B604:B613"/>
    <mergeCell ref="C604:D604"/>
    <mergeCell ref="C605:D605"/>
    <mergeCell ref="B574:B583"/>
    <mergeCell ref="C574:D574"/>
    <mergeCell ref="C575:D575"/>
    <mergeCell ref="B584:B593"/>
    <mergeCell ref="C584:D584"/>
    <mergeCell ref="C585:D585"/>
    <mergeCell ref="C560:D560"/>
    <mergeCell ref="C561:D561"/>
    <mergeCell ref="C562:D562"/>
    <mergeCell ref="C563:D563"/>
    <mergeCell ref="B564:B573"/>
    <mergeCell ref="C564:D564"/>
    <mergeCell ref="C565:D565"/>
    <mergeCell ref="B544:B553"/>
    <mergeCell ref="C544:D544"/>
    <mergeCell ref="C545:D545"/>
    <mergeCell ref="B554:B563"/>
    <mergeCell ref="C554:D554"/>
    <mergeCell ref="C555:D555"/>
    <mergeCell ref="C556:D556"/>
    <mergeCell ref="C557:D557"/>
    <mergeCell ref="C558:D558"/>
    <mergeCell ref="C559:D559"/>
    <mergeCell ref="B524:B533"/>
    <mergeCell ref="C524:D524"/>
    <mergeCell ref="C525:D525"/>
    <mergeCell ref="B534:B543"/>
    <mergeCell ref="C534:D534"/>
    <mergeCell ref="C535:D535"/>
    <mergeCell ref="B504:B513"/>
    <mergeCell ref="C504:D504"/>
    <mergeCell ref="C505:D505"/>
    <mergeCell ref="B514:B523"/>
    <mergeCell ref="C514:D514"/>
    <mergeCell ref="C515:D515"/>
    <mergeCell ref="B484:B493"/>
    <mergeCell ref="C484:D484"/>
    <mergeCell ref="C485:D485"/>
    <mergeCell ref="B494:B503"/>
    <mergeCell ref="C494:D494"/>
    <mergeCell ref="C495:D495"/>
    <mergeCell ref="B464:B473"/>
    <mergeCell ref="C464:D464"/>
    <mergeCell ref="C465:D465"/>
    <mergeCell ref="B474:B483"/>
    <mergeCell ref="C474:D474"/>
    <mergeCell ref="C475:D475"/>
    <mergeCell ref="B444:B453"/>
    <mergeCell ref="C444:D444"/>
    <mergeCell ref="C445:D445"/>
    <mergeCell ref="B454:B463"/>
    <mergeCell ref="C454:D454"/>
    <mergeCell ref="C455:D455"/>
    <mergeCell ref="B424:B433"/>
    <mergeCell ref="C424:D424"/>
    <mergeCell ref="C425:D425"/>
    <mergeCell ref="B434:B443"/>
    <mergeCell ref="C434:D434"/>
    <mergeCell ref="C435:D435"/>
    <mergeCell ref="B404:B413"/>
    <mergeCell ref="C404:D404"/>
    <mergeCell ref="C405:D405"/>
    <mergeCell ref="B414:B423"/>
    <mergeCell ref="C414:D414"/>
    <mergeCell ref="C415:D415"/>
    <mergeCell ref="B384:B393"/>
    <mergeCell ref="C384:D384"/>
    <mergeCell ref="C385:D385"/>
    <mergeCell ref="B394:B403"/>
    <mergeCell ref="C394:D394"/>
    <mergeCell ref="C395:D395"/>
    <mergeCell ref="B364:B373"/>
    <mergeCell ref="C364:D364"/>
    <mergeCell ref="C365:D365"/>
    <mergeCell ref="B374:B383"/>
    <mergeCell ref="C374:D374"/>
    <mergeCell ref="C375:D375"/>
    <mergeCell ref="B344:B353"/>
    <mergeCell ref="C344:D344"/>
    <mergeCell ref="C345:D345"/>
    <mergeCell ref="B354:B363"/>
    <mergeCell ref="C354:D354"/>
    <mergeCell ref="C355:D355"/>
    <mergeCell ref="B324:B333"/>
    <mergeCell ref="C324:D324"/>
    <mergeCell ref="C325:D325"/>
    <mergeCell ref="B334:B343"/>
    <mergeCell ref="C334:D334"/>
    <mergeCell ref="C335:D335"/>
    <mergeCell ref="B304:B313"/>
    <mergeCell ref="C304:D304"/>
    <mergeCell ref="C305:D305"/>
    <mergeCell ref="B314:B323"/>
    <mergeCell ref="C314:D314"/>
    <mergeCell ref="C315:D315"/>
    <mergeCell ref="B284:B293"/>
    <mergeCell ref="C284:D284"/>
    <mergeCell ref="C285:D285"/>
    <mergeCell ref="B294:B303"/>
    <mergeCell ref="C294:D294"/>
    <mergeCell ref="C295:D295"/>
    <mergeCell ref="B264:B273"/>
    <mergeCell ref="C264:D264"/>
    <mergeCell ref="C265:D265"/>
    <mergeCell ref="B274:B283"/>
    <mergeCell ref="C274:D274"/>
    <mergeCell ref="C275:D275"/>
    <mergeCell ref="B244:B253"/>
    <mergeCell ref="C244:D244"/>
    <mergeCell ref="C245:D245"/>
    <mergeCell ref="B254:B263"/>
    <mergeCell ref="C254:D254"/>
    <mergeCell ref="C255:D255"/>
    <mergeCell ref="B224:B233"/>
    <mergeCell ref="C224:D224"/>
    <mergeCell ref="C225:D225"/>
    <mergeCell ref="B234:B243"/>
    <mergeCell ref="C234:D234"/>
    <mergeCell ref="C235:D235"/>
    <mergeCell ref="B204:B213"/>
    <mergeCell ref="C204:D204"/>
    <mergeCell ref="C205:D205"/>
    <mergeCell ref="B214:B223"/>
    <mergeCell ref="C214:D214"/>
    <mergeCell ref="C215:D215"/>
    <mergeCell ref="B184:B193"/>
    <mergeCell ref="C184:D184"/>
    <mergeCell ref="C185:D185"/>
    <mergeCell ref="B194:B203"/>
    <mergeCell ref="C194:D194"/>
    <mergeCell ref="C195:D195"/>
    <mergeCell ref="B164:B173"/>
    <mergeCell ref="C164:D164"/>
    <mergeCell ref="C165:D165"/>
    <mergeCell ref="B174:B183"/>
    <mergeCell ref="C174:D174"/>
    <mergeCell ref="C175:D175"/>
    <mergeCell ref="B146:B154"/>
    <mergeCell ref="C146:D146"/>
    <mergeCell ref="C147:D147"/>
    <mergeCell ref="B155:B163"/>
    <mergeCell ref="C155:D155"/>
    <mergeCell ref="C156:D156"/>
    <mergeCell ref="B126:B135"/>
    <mergeCell ref="C126:D126"/>
    <mergeCell ref="C127:D127"/>
    <mergeCell ref="B136:B145"/>
    <mergeCell ref="C136:D136"/>
    <mergeCell ref="C137:D137"/>
    <mergeCell ref="B106:B115"/>
    <mergeCell ref="C106:D106"/>
    <mergeCell ref="C107:D107"/>
    <mergeCell ref="B116:B125"/>
    <mergeCell ref="C116:D116"/>
    <mergeCell ref="C117:D117"/>
    <mergeCell ref="B86:B95"/>
    <mergeCell ref="C86:D86"/>
    <mergeCell ref="C87:D87"/>
    <mergeCell ref="B96:B105"/>
    <mergeCell ref="C96:D96"/>
    <mergeCell ref="C97:D97"/>
    <mergeCell ref="B66:B75"/>
    <mergeCell ref="C66:D66"/>
    <mergeCell ref="C67:D67"/>
    <mergeCell ref="B76:B85"/>
    <mergeCell ref="C76:D76"/>
    <mergeCell ref="C77:D77"/>
    <mergeCell ref="B56:B65"/>
    <mergeCell ref="C56:D56"/>
    <mergeCell ref="C57:D57"/>
    <mergeCell ref="B26:B40"/>
    <mergeCell ref="C26:D26"/>
    <mergeCell ref="B41:B43"/>
    <mergeCell ref="C41:D41"/>
    <mergeCell ref="B44:B45"/>
    <mergeCell ref="C44:D44"/>
    <mergeCell ref="A6:D6"/>
    <mergeCell ref="A7:D7"/>
    <mergeCell ref="A8:D8"/>
    <mergeCell ref="B13:D13"/>
    <mergeCell ref="B14:B25"/>
    <mergeCell ref="C14:D14"/>
    <mergeCell ref="B46:B54"/>
    <mergeCell ref="C46:D46"/>
    <mergeCell ref="B55:D55"/>
  </mergeCells>
  <pageMargins left="0.39370078740157483" right="0.39370078740157483" top="0.78740157480314965" bottom="0.78740157480314965" header="0" footer="0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C3C6F-0E85-4F7F-BDCB-DA43CC9CE06B}">
  <sheetPr>
    <pageSetUpPr fitToPage="1"/>
  </sheetPr>
  <dimension ref="A1:F825"/>
  <sheetViews>
    <sheetView topLeftCell="A619" workbookViewId="0">
      <selection sqref="A1:D809"/>
    </sheetView>
  </sheetViews>
  <sheetFormatPr defaultRowHeight="15" outlineLevelRow="1" x14ac:dyDescent="0.25"/>
  <cols>
    <col min="1" max="1" width="10.7109375" customWidth="1"/>
    <col min="2" max="2" width="12.7109375" customWidth="1"/>
    <col min="3" max="3" width="68" customWidth="1"/>
    <col min="4" max="4" width="16.28515625" style="2" customWidth="1"/>
  </cols>
  <sheetData>
    <row r="1" spans="1:6" x14ac:dyDescent="0.25">
      <c r="D1" s="1" t="s">
        <v>277</v>
      </c>
    </row>
    <row r="2" spans="1:6" x14ac:dyDescent="0.25">
      <c r="D2" s="1" t="s">
        <v>1176</v>
      </c>
    </row>
    <row r="3" spans="1:6" x14ac:dyDescent="0.25">
      <c r="D3" s="1" t="s">
        <v>278</v>
      </c>
    </row>
    <row r="4" spans="1:6" x14ac:dyDescent="0.25">
      <c r="D4" s="1" t="s">
        <v>279</v>
      </c>
    </row>
    <row r="5" spans="1:6" x14ac:dyDescent="0.25">
      <c r="D5" s="1"/>
    </row>
    <row r="6" spans="1:6" ht="15.75" x14ac:dyDescent="0.25">
      <c r="C6" s="36" t="s">
        <v>280</v>
      </c>
      <c r="D6" s="36"/>
      <c r="E6" s="36"/>
      <c r="F6" s="36"/>
    </row>
    <row r="7" spans="1:6" ht="12" customHeight="1" x14ac:dyDescent="0.25">
      <c r="C7" s="37" t="s">
        <v>281</v>
      </c>
    </row>
    <row r="8" spans="1:6" ht="12" customHeight="1" x14ac:dyDescent="0.25">
      <c r="A8" s="438" t="s">
        <v>2</v>
      </c>
      <c r="B8" s="438"/>
      <c r="C8" s="438"/>
      <c r="D8" s="438"/>
    </row>
    <row r="9" spans="1:6" ht="12" customHeight="1" x14ac:dyDescent="0.25">
      <c r="A9" s="468" t="s">
        <v>3</v>
      </c>
      <c r="B9" s="468"/>
      <c r="C9" s="468"/>
      <c r="D9" s="468"/>
    </row>
    <row r="10" spans="1:6" ht="12" customHeight="1" x14ac:dyDescent="0.25">
      <c r="A10" s="3"/>
      <c r="B10" s="3"/>
      <c r="C10" s="3"/>
      <c r="D10" s="4"/>
    </row>
    <row r="11" spans="1:6" ht="50.1" customHeight="1" x14ac:dyDescent="0.25">
      <c r="A11" s="38" t="s">
        <v>4</v>
      </c>
      <c r="B11" s="39" t="s">
        <v>282</v>
      </c>
      <c r="C11" s="39" t="s">
        <v>6</v>
      </c>
      <c r="D11" s="40" t="s">
        <v>7</v>
      </c>
    </row>
    <row r="12" spans="1:6" ht="15" customHeight="1" x14ac:dyDescent="0.25">
      <c r="A12" s="41">
        <v>1</v>
      </c>
      <c r="B12" s="42">
        <v>2</v>
      </c>
      <c r="C12" s="43">
        <v>3</v>
      </c>
      <c r="D12" s="44">
        <v>4</v>
      </c>
    </row>
    <row r="13" spans="1:6" ht="17.100000000000001" customHeight="1" x14ac:dyDescent="0.25">
      <c r="A13" s="45"/>
      <c r="B13" s="45"/>
      <c r="C13" s="46" t="s">
        <v>283</v>
      </c>
      <c r="D13" s="47">
        <f t="shared" ref="D13" si="0">D14+D25+D41+D44+D46</f>
        <v>274504</v>
      </c>
    </row>
    <row r="14" spans="1:6" ht="12" hidden="1" customHeight="1" outlineLevel="1" x14ac:dyDescent="0.25">
      <c r="A14" s="48" t="s">
        <v>284</v>
      </c>
      <c r="B14" s="48"/>
      <c r="C14" s="49" t="s">
        <v>285</v>
      </c>
      <c r="D14" s="50">
        <f t="shared" ref="D14" si="1">SUM(D15:D24)</f>
        <v>0</v>
      </c>
    </row>
    <row r="15" spans="1:6" ht="12" hidden="1" customHeight="1" outlineLevel="1" x14ac:dyDescent="0.25">
      <c r="A15" s="51"/>
      <c r="B15" s="52" t="s">
        <v>16</v>
      </c>
      <c r="C15" s="53" t="s">
        <v>286</v>
      </c>
      <c r="D15" s="54"/>
    </row>
    <row r="16" spans="1:6" ht="12" hidden="1" customHeight="1" outlineLevel="1" x14ac:dyDescent="0.25">
      <c r="A16" s="51"/>
      <c r="B16" s="52" t="s">
        <v>18</v>
      </c>
      <c r="C16" s="53" t="s">
        <v>287</v>
      </c>
      <c r="D16" s="54"/>
    </row>
    <row r="17" spans="1:4" ht="12" hidden="1" customHeight="1" outlineLevel="1" x14ac:dyDescent="0.25">
      <c r="A17" s="51"/>
      <c r="B17" s="52" t="s">
        <v>20</v>
      </c>
      <c r="C17" s="53" t="s">
        <v>288</v>
      </c>
      <c r="D17" s="54"/>
    </row>
    <row r="18" spans="1:4" ht="12" hidden="1" customHeight="1" outlineLevel="1" x14ac:dyDescent="0.25">
      <c r="A18" s="51"/>
      <c r="B18" s="52" t="s">
        <v>22</v>
      </c>
      <c r="C18" s="53" t="s">
        <v>289</v>
      </c>
      <c r="D18" s="54"/>
    </row>
    <row r="19" spans="1:4" ht="12" hidden="1" customHeight="1" outlineLevel="1" x14ac:dyDescent="0.25">
      <c r="A19" s="51"/>
      <c r="B19" s="52" t="s">
        <v>24</v>
      </c>
      <c r="C19" s="53" t="s">
        <v>290</v>
      </c>
      <c r="D19" s="54"/>
    </row>
    <row r="20" spans="1:4" ht="12" hidden="1" customHeight="1" outlineLevel="1" x14ac:dyDescent="0.25">
      <c r="A20" s="51"/>
      <c r="B20" s="52" t="s">
        <v>26</v>
      </c>
      <c r="C20" s="53" t="s">
        <v>291</v>
      </c>
      <c r="D20" s="54"/>
    </row>
    <row r="21" spans="1:4" ht="12" hidden="1" customHeight="1" outlineLevel="1" x14ac:dyDescent="0.25">
      <c r="A21" s="51"/>
      <c r="B21" s="55" t="s">
        <v>28</v>
      </c>
      <c r="C21" s="56" t="s">
        <v>292</v>
      </c>
      <c r="D21" s="54"/>
    </row>
    <row r="22" spans="1:4" ht="12" hidden="1" customHeight="1" outlineLevel="1" x14ac:dyDescent="0.25">
      <c r="A22" s="51"/>
      <c r="B22" s="55" t="s">
        <v>30</v>
      </c>
      <c r="C22" s="56" t="s">
        <v>293</v>
      </c>
      <c r="D22" s="54"/>
    </row>
    <row r="23" spans="1:4" ht="12" hidden="1" customHeight="1" outlineLevel="1" x14ac:dyDescent="0.25">
      <c r="A23" s="51"/>
      <c r="B23" s="52" t="s">
        <v>32</v>
      </c>
      <c r="C23" s="53" t="s">
        <v>33</v>
      </c>
      <c r="D23" s="54"/>
    </row>
    <row r="24" spans="1:4" ht="12" hidden="1" customHeight="1" outlineLevel="1" x14ac:dyDescent="0.25">
      <c r="A24" s="51"/>
      <c r="B24" s="52" t="s">
        <v>34</v>
      </c>
      <c r="C24" s="53" t="s">
        <v>294</v>
      </c>
      <c r="D24" s="54"/>
    </row>
    <row r="25" spans="1:4" ht="12" hidden="1" customHeight="1" outlineLevel="1" x14ac:dyDescent="0.25">
      <c r="A25" s="48" t="s">
        <v>295</v>
      </c>
      <c r="B25" s="48"/>
      <c r="C25" s="49" t="s">
        <v>39</v>
      </c>
      <c r="D25" s="50">
        <f>SUM(D26:D40)</f>
        <v>0</v>
      </c>
    </row>
    <row r="26" spans="1:4" ht="12" hidden="1" customHeight="1" outlineLevel="1" x14ac:dyDescent="0.25">
      <c r="A26" s="57"/>
      <c r="B26" s="55" t="s">
        <v>40</v>
      </c>
      <c r="C26" s="56" t="s">
        <v>41</v>
      </c>
      <c r="D26" s="54"/>
    </row>
    <row r="27" spans="1:4" ht="12" hidden="1" customHeight="1" outlineLevel="1" x14ac:dyDescent="0.25">
      <c r="A27" s="57"/>
      <c r="B27" s="55" t="s">
        <v>42</v>
      </c>
      <c r="C27" s="56" t="s">
        <v>296</v>
      </c>
      <c r="D27" s="54"/>
    </row>
    <row r="28" spans="1:4" ht="12" hidden="1" customHeight="1" outlineLevel="1" x14ac:dyDescent="0.25">
      <c r="A28" s="51"/>
      <c r="B28" s="52" t="s">
        <v>204</v>
      </c>
      <c r="C28" s="58" t="s">
        <v>297</v>
      </c>
      <c r="D28" s="54"/>
    </row>
    <row r="29" spans="1:4" ht="12" hidden="1" customHeight="1" outlineLevel="1" x14ac:dyDescent="0.25">
      <c r="A29" s="51"/>
      <c r="B29" s="52" t="s">
        <v>44</v>
      </c>
      <c r="C29" s="58" t="s">
        <v>45</v>
      </c>
      <c r="D29" s="54"/>
    </row>
    <row r="30" spans="1:4" ht="12" hidden="1" customHeight="1" outlineLevel="1" x14ac:dyDescent="0.25">
      <c r="A30" s="51"/>
      <c r="B30" s="52" t="s">
        <v>46</v>
      </c>
      <c r="C30" s="53" t="s">
        <v>47</v>
      </c>
      <c r="D30" s="54"/>
    </row>
    <row r="31" spans="1:4" ht="12" hidden="1" customHeight="1" outlineLevel="1" x14ac:dyDescent="0.25">
      <c r="A31" s="51"/>
      <c r="B31" s="52" t="s">
        <v>48</v>
      </c>
      <c r="C31" s="53" t="s">
        <v>49</v>
      </c>
      <c r="D31" s="54"/>
    </row>
    <row r="32" spans="1:4" ht="12" hidden="1" customHeight="1" outlineLevel="1" x14ac:dyDescent="0.25">
      <c r="A32" s="51"/>
      <c r="B32" s="52" t="s">
        <v>50</v>
      </c>
      <c r="C32" s="53" t="s">
        <v>298</v>
      </c>
      <c r="D32" s="54"/>
    </row>
    <row r="33" spans="1:4" ht="12" hidden="1" customHeight="1" outlineLevel="1" x14ac:dyDescent="0.25">
      <c r="A33" s="51"/>
      <c r="B33" s="52" t="s">
        <v>52</v>
      </c>
      <c r="C33" s="53" t="s">
        <v>53</v>
      </c>
      <c r="D33" s="54"/>
    </row>
    <row r="34" spans="1:4" ht="12" hidden="1" customHeight="1" outlineLevel="1" x14ac:dyDescent="0.25">
      <c r="A34" s="51"/>
      <c r="B34" s="59">
        <v>10.1</v>
      </c>
      <c r="C34" s="53" t="s">
        <v>299</v>
      </c>
      <c r="D34" s="54"/>
    </row>
    <row r="35" spans="1:4" ht="12" hidden="1" customHeight="1" outlineLevel="1" x14ac:dyDescent="0.25">
      <c r="A35" s="51"/>
      <c r="B35" s="60">
        <v>12.2</v>
      </c>
      <c r="C35" s="56" t="s">
        <v>300</v>
      </c>
      <c r="D35" s="54"/>
    </row>
    <row r="36" spans="1:4" ht="12" hidden="1" customHeight="1" outlineLevel="1" x14ac:dyDescent="0.25">
      <c r="A36" s="51"/>
      <c r="B36" s="61">
        <v>12.3</v>
      </c>
      <c r="C36" s="58" t="s">
        <v>59</v>
      </c>
      <c r="D36" s="54"/>
    </row>
    <row r="37" spans="1:4" ht="12" hidden="1" customHeight="1" outlineLevel="1" x14ac:dyDescent="0.25">
      <c r="A37" s="51"/>
      <c r="B37" s="62">
        <v>13.1</v>
      </c>
      <c r="C37" s="56" t="s">
        <v>301</v>
      </c>
      <c r="D37" s="54"/>
    </row>
    <row r="38" spans="1:4" ht="12" hidden="1" customHeight="1" outlineLevel="1" x14ac:dyDescent="0.25">
      <c r="A38" s="51"/>
      <c r="B38" s="62">
        <v>13.2</v>
      </c>
      <c r="C38" s="56" t="s">
        <v>63</v>
      </c>
      <c r="D38" s="54"/>
    </row>
    <row r="39" spans="1:4" ht="12" hidden="1" customHeight="1" outlineLevel="1" x14ac:dyDescent="0.25">
      <c r="A39" s="51"/>
      <c r="B39" s="62">
        <v>13.4</v>
      </c>
      <c r="C39" s="56" t="s">
        <v>302</v>
      </c>
      <c r="D39" s="54"/>
    </row>
    <row r="40" spans="1:4" ht="12" hidden="1" customHeight="1" outlineLevel="1" x14ac:dyDescent="0.25">
      <c r="A40" s="51"/>
      <c r="B40" s="62">
        <v>13.5</v>
      </c>
      <c r="C40" s="63" t="s">
        <v>303</v>
      </c>
      <c r="D40" s="54"/>
    </row>
    <row r="41" spans="1:4" ht="12" hidden="1" customHeight="1" outlineLevel="1" x14ac:dyDescent="0.25">
      <c r="A41" s="48" t="s">
        <v>304</v>
      </c>
      <c r="B41" s="64"/>
      <c r="C41" s="49" t="s">
        <v>69</v>
      </c>
      <c r="D41" s="50">
        <f t="shared" ref="D41" si="2">SUM(D42:D43)</f>
        <v>0</v>
      </c>
    </row>
    <row r="42" spans="1:4" ht="12" hidden="1" customHeight="1" outlineLevel="1" x14ac:dyDescent="0.25">
      <c r="A42" s="51"/>
      <c r="B42" s="59">
        <v>21.3</v>
      </c>
      <c r="C42" s="58" t="s">
        <v>305</v>
      </c>
      <c r="D42" s="54"/>
    </row>
    <row r="43" spans="1:4" ht="12" hidden="1" customHeight="1" outlineLevel="1" x14ac:dyDescent="0.25">
      <c r="A43" s="51"/>
      <c r="B43" s="59">
        <v>21.4</v>
      </c>
      <c r="C43" s="58" t="s">
        <v>306</v>
      </c>
      <c r="D43" s="54"/>
    </row>
    <row r="44" spans="1:4" ht="12" hidden="1" customHeight="1" outlineLevel="1" x14ac:dyDescent="0.25">
      <c r="A44" s="48" t="s">
        <v>307</v>
      </c>
      <c r="B44" s="64"/>
      <c r="C44" s="49" t="s">
        <v>308</v>
      </c>
      <c r="D44" s="50">
        <f t="shared" ref="D44" si="3">SUM(D45)</f>
        <v>0</v>
      </c>
    </row>
    <row r="45" spans="1:4" ht="12" hidden="1" customHeight="1" outlineLevel="1" x14ac:dyDescent="0.25">
      <c r="A45" s="51"/>
      <c r="B45" s="61">
        <v>21.1</v>
      </c>
      <c r="C45" s="58" t="s">
        <v>309</v>
      </c>
      <c r="D45" s="54"/>
    </row>
    <row r="46" spans="1:4" ht="23.25" hidden="1" customHeight="1" outlineLevel="1" x14ac:dyDescent="0.25">
      <c r="A46" s="48" t="s">
        <v>310</v>
      </c>
      <c r="B46" s="64"/>
      <c r="C46" s="49" t="s">
        <v>79</v>
      </c>
      <c r="D46" s="50">
        <f t="shared" ref="D46" si="4">SUM(D47:D54)</f>
        <v>274504</v>
      </c>
    </row>
    <row r="47" spans="1:4" ht="12" hidden="1" customHeight="1" outlineLevel="1" x14ac:dyDescent="0.25">
      <c r="A47" s="51"/>
      <c r="B47" s="61">
        <v>17.2</v>
      </c>
      <c r="C47" s="65" t="s">
        <v>81</v>
      </c>
      <c r="D47" s="54"/>
    </row>
    <row r="48" spans="1:4" ht="12" hidden="1" customHeight="1" outlineLevel="1" x14ac:dyDescent="0.25">
      <c r="A48" s="51"/>
      <c r="B48" s="66">
        <v>18.62</v>
      </c>
      <c r="C48" s="67" t="s">
        <v>311</v>
      </c>
      <c r="D48" s="54"/>
    </row>
    <row r="49" spans="1:4" ht="27" hidden="1" customHeight="1" outlineLevel="1" x14ac:dyDescent="0.25">
      <c r="A49" s="51"/>
      <c r="B49" s="66">
        <v>18.63</v>
      </c>
      <c r="C49" s="67" t="s">
        <v>312</v>
      </c>
      <c r="D49" s="54"/>
    </row>
    <row r="50" spans="1:4" ht="27" hidden="1" customHeight="1" outlineLevel="1" x14ac:dyDescent="0.25">
      <c r="A50" s="51"/>
      <c r="B50" s="66">
        <v>18.64</v>
      </c>
      <c r="C50" s="67" t="s">
        <v>313</v>
      </c>
      <c r="D50" s="54"/>
    </row>
    <row r="51" spans="1:4" ht="27" hidden="1" customHeight="1" outlineLevel="1" x14ac:dyDescent="0.25">
      <c r="A51" s="51"/>
      <c r="B51" s="66">
        <v>18.690000000000001</v>
      </c>
      <c r="C51" s="67"/>
      <c r="D51" s="54"/>
    </row>
    <row r="52" spans="1:4" ht="12" customHeight="1" collapsed="1" x14ac:dyDescent="0.25">
      <c r="A52" s="51"/>
      <c r="B52" s="60">
        <v>23.5</v>
      </c>
      <c r="C52" s="65" t="s">
        <v>314</v>
      </c>
      <c r="D52" s="54">
        <v>500</v>
      </c>
    </row>
    <row r="53" spans="1:4" ht="12" customHeight="1" x14ac:dyDescent="0.25">
      <c r="A53" s="51"/>
      <c r="B53" s="61">
        <v>23.4</v>
      </c>
      <c r="C53" s="58" t="s">
        <v>315</v>
      </c>
      <c r="D53" s="54">
        <f>272609+1395</f>
        <v>274004</v>
      </c>
    </row>
    <row r="54" spans="1:4" ht="29.25" hidden="1" customHeight="1" outlineLevel="1" x14ac:dyDescent="0.25">
      <c r="A54" s="51"/>
      <c r="B54" s="61"/>
      <c r="C54" s="68" t="s">
        <v>316</v>
      </c>
      <c r="D54" s="54"/>
    </row>
    <row r="55" spans="1:4" ht="17.100000000000001" customHeight="1" collapsed="1" x14ac:dyDescent="0.25">
      <c r="A55" s="69"/>
      <c r="B55" s="45"/>
      <c r="C55" s="70" t="s">
        <v>317</v>
      </c>
      <c r="D55" s="71">
        <f t="shared" ref="D55" si="5">D56+D131+D136+D186+D306+D376+D436+D476+D576+D716</f>
        <v>319085</v>
      </c>
    </row>
    <row r="56" spans="1:4" ht="17.100000000000001" hidden="1" customHeight="1" outlineLevel="1" x14ac:dyDescent="0.25">
      <c r="A56" s="72" t="s">
        <v>98</v>
      </c>
      <c r="B56" s="73"/>
      <c r="C56" s="74" t="s">
        <v>318</v>
      </c>
      <c r="D56" s="75">
        <f t="shared" ref="D56" si="6">D57+D62+D65</f>
        <v>0</v>
      </c>
    </row>
    <row r="57" spans="1:4" ht="12" hidden="1" customHeight="1" outlineLevel="1" x14ac:dyDescent="0.25">
      <c r="A57" s="76"/>
      <c r="B57" s="77"/>
      <c r="C57" s="78" t="s">
        <v>319</v>
      </c>
      <c r="D57" s="79">
        <f t="shared" ref="D57" si="7">D58+D60+D61+D63+D64+D59</f>
        <v>0</v>
      </c>
    </row>
    <row r="58" spans="1:4" ht="12" hidden="1" customHeight="1" outlineLevel="1" x14ac:dyDescent="0.25">
      <c r="A58" s="76"/>
      <c r="B58" s="80">
        <v>1000</v>
      </c>
      <c r="C58" s="81" t="s">
        <v>102</v>
      </c>
      <c r="D58" s="82">
        <f>D68+D88+D98+D108+D78</f>
        <v>0</v>
      </c>
    </row>
    <row r="59" spans="1:4" ht="12" hidden="1" customHeight="1" outlineLevel="1" x14ac:dyDescent="0.25">
      <c r="A59" s="83"/>
      <c r="B59" s="84">
        <v>2000</v>
      </c>
      <c r="C59" s="85" t="s">
        <v>104</v>
      </c>
      <c r="D59" s="86">
        <f t="shared" ref="D59:D65" si="8">D69+D89+D99+D109+D79</f>
        <v>0</v>
      </c>
    </row>
    <row r="60" spans="1:4" ht="12" hidden="1" customHeight="1" outlineLevel="1" x14ac:dyDescent="0.25">
      <c r="A60" s="83"/>
      <c r="B60" s="48">
        <v>3000</v>
      </c>
      <c r="C60" s="87" t="s">
        <v>106</v>
      </c>
      <c r="D60" s="86">
        <f t="shared" si="8"/>
        <v>0</v>
      </c>
    </row>
    <row r="61" spans="1:4" ht="12" hidden="1" customHeight="1" outlineLevel="1" x14ac:dyDescent="0.25">
      <c r="A61" s="83"/>
      <c r="B61" s="48">
        <v>4000</v>
      </c>
      <c r="C61" s="88" t="s">
        <v>108</v>
      </c>
      <c r="D61" s="86">
        <f t="shared" si="8"/>
        <v>0</v>
      </c>
    </row>
    <row r="62" spans="1:4" ht="12" hidden="1" customHeight="1" outlineLevel="1" x14ac:dyDescent="0.25">
      <c r="A62" s="83"/>
      <c r="B62" s="48">
        <v>5000</v>
      </c>
      <c r="C62" s="49" t="s">
        <v>110</v>
      </c>
      <c r="D62" s="89">
        <f t="shared" si="8"/>
        <v>0</v>
      </c>
    </row>
    <row r="63" spans="1:4" ht="15.75" hidden="1" customHeight="1" outlineLevel="1" x14ac:dyDescent="0.25">
      <c r="A63" s="83"/>
      <c r="B63" s="48">
        <v>6000</v>
      </c>
      <c r="C63" s="49" t="s">
        <v>320</v>
      </c>
      <c r="D63" s="86">
        <f t="shared" si="8"/>
        <v>0</v>
      </c>
    </row>
    <row r="64" spans="1:4" ht="12" hidden="1" customHeight="1" outlineLevel="1" x14ac:dyDescent="0.25">
      <c r="A64" s="83"/>
      <c r="B64" s="48">
        <v>7000</v>
      </c>
      <c r="C64" s="49" t="s">
        <v>321</v>
      </c>
      <c r="D64" s="86">
        <f t="shared" si="8"/>
        <v>0</v>
      </c>
    </row>
    <row r="65" spans="1:4" ht="12" hidden="1" customHeight="1" outlineLevel="1" x14ac:dyDescent="0.25">
      <c r="A65" s="83"/>
      <c r="B65" s="90">
        <v>8000</v>
      </c>
      <c r="C65" s="91" t="s">
        <v>116</v>
      </c>
      <c r="D65" s="89">
        <f t="shared" si="8"/>
        <v>0</v>
      </c>
    </row>
    <row r="66" spans="1:4" ht="12" hidden="1" customHeight="1" outlineLevel="1" x14ac:dyDescent="0.25">
      <c r="A66" s="92" t="s">
        <v>117</v>
      </c>
      <c r="B66" s="93"/>
      <c r="C66" s="94" t="s">
        <v>322</v>
      </c>
      <c r="D66" s="95">
        <f t="shared" ref="D66" si="9">D67+D72+D75</f>
        <v>0</v>
      </c>
    </row>
    <row r="67" spans="1:4" ht="12" hidden="1" customHeight="1" outlineLevel="1" x14ac:dyDescent="0.25">
      <c r="A67" s="76"/>
      <c r="B67" s="77"/>
      <c r="C67" s="78" t="s">
        <v>319</v>
      </c>
      <c r="D67" s="79">
        <f>D68+D70+D71+D73+D74+D69</f>
        <v>0</v>
      </c>
    </row>
    <row r="68" spans="1:4" ht="12" hidden="1" customHeight="1" outlineLevel="1" x14ac:dyDescent="0.25">
      <c r="A68" s="76"/>
      <c r="B68" s="80">
        <v>1000</v>
      </c>
      <c r="C68" s="81" t="s">
        <v>102</v>
      </c>
      <c r="D68" s="82"/>
    </row>
    <row r="69" spans="1:4" ht="12" hidden="1" customHeight="1" outlineLevel="1" x14ac:dyDescent="0.25">
      <c r="A69" s="83"/>
      <c r="B69" s="84">
        <v>2000</v>
      </c>
      <c r="C69" s="85" t="s">
        <v>104</v>
      </c>
      <c r="D69" s="86"/>
    </row>
    <row r="70" spans="1:4" ht="12" hidden="1" customHeight="1" outlineLevel="1" x14ac:dyDescent="0.25">
      <c r="A70" s="83"/>
      <c r="B70" s="48">
        <v>3000</v>
      </c>
      <c r="C70" s="87" t="s">
        <v>106</v>
      </c>
      <c r="D70" s="86"/>
    </row>
    <row r="71" spans="1:4" ht="12" hidden="1" customHeight="1" outlineLevel="1" x14ac:dyDescent="0.25">
      <c r="A71" s="83"/>
      <c r="B71" s="48">
        <v>4000</v>
      </c>
      <c r="C71" s="88" t="s">
        <v>108</v>
      </c>
      <c r="D71" s="86"/>
    </row>
    <row r="72" spans="1:4" ht="12" hidden="1" customHeight="1" outlineLevel="1" x14ac:dyDescent="0.25">
      <c r="A72" s="83"/>
      <c r="B72" s="48">
        <v>5000</v>
      </c>
      <c r="C72" s="49" t="s">
        <v>110</v>
      </c>
      <c r="D72" s="89"/>
    </row>
    <row r="73" spans="1:4" ht="12" hidden="1" customHeight="1" outlineLevel="1" x14ac:dyDescent="0.25">
      <c r="A73" s="83"/>
      <c r="B73" s="48">
        <v>6000</v>
      </c>
      <c r="C73" s="49" t="s">
        <v>320</v>
      </c>
      <c r="D73" s="86"/>
    </row>
    <row r="74" spans="1:4" ht="12" hidden="1" customHeight="1" outlineLevel="1" x14ac:dyDescent="0.25">
      <c r="A74" s="83"/>
      <c r="B74" s="48">
        <v>7000</v>
      </c>
      <c r="C74" s="49" t="s">
        <v>321</v>
      </c>
      <c r="D74" s="86"/>
    </row>
    <row r="75" spans="1:4" ht="12" hidden="1" customHeight="1" outlineLevel="1" x14ac:dyDescent="0.25">
      <c r="A75" s="83"/>
      <c r="B75" s="90">
        <v>8000</v>
      </c>
      <c r="C75" s="91" t="s">
        <v>116</v>
      </c>
      <c r="D75" s="89"/>
    </row>
    <row r="76" spans="1:4" ht="12" hidden="1" customHeight="1" outlineLevel="1" x14ac:dyDescent="0.25">
      <c r="A76" s="92" t="s">
        <v>119</v>
      </c>
      <c r="B76" s="93"/>
      <c r="C76" s="94" t="s">
        <v>323</v>
      </c>
      <c r="D76" s="95">
        <f t="shared" ref="D76" si="10">D77+D82+D85</f>
        <v>0</v>
      </c>
    </row>
    <row r="77" spans="1:4" ht="12" hidden="1" customHeight="1" outlineLevel="1" x14ac:dyDescent="0.25">
      <c r="A77" s="76"/>
      <c r="B77" s="77"/>
      <c r="C77" s="78" t="s">
        <v>319</v>
      </c>
      <c r="D77" s="79">
        <f t="shared" ref="D77" si="11">D78+D80+D81+D83+D84+D79</f>
        <v>0</v>
      </c>
    </row>
    <row r="78" spans="1:4" ht="12" hidden="1" customHeight="1" outlineLevel="1" x14ac:dyDescent="0.25">
      <c r="A78" s="76"/>
      <c r="B78" s="80">
        <v>1000</v>
      </c>
      <c r="C78" s="81" t="s">
        <v>102</v>
      </c>
      <c r="D78" s="82"/>
    </row>
    <row r="79" spans="1:4" ht="12" hidden="1" customHeight="1" outlineLevel="1" x14ac:dyDescent="0.25">
      <c r="A79" s="83"/>
      <c r="B79" s="84">
        <v>2000</v>
      </c>
      <c r="C79" s="85" t="s">
        <v>104</v>
      </c>
      <c r="D79" s="86"/>
    </row>
    <row r="80" spans="1:4" ht="12" hidden="1" customHeight="1" outlineLevel="1" x14ac:dyDescent="0.25">
      <c r="A80" s="83"/>
      <c r="B80" s="48">
        <v>3000</v>
      </c>
      <c r="C80" s="87" t="s">
        <v>106</v>
      </c>
      <c r="D80" s="86"/>
    </row>
    <row r="81" spans="1:4" ht="12" hidden="1" customHeight="1" outlineLevel="1" x14ac:dyDescent="0.25">
      <c r="A81" s="83"/>
      <c r="B81" s="48">
        <v>4000</v>
      </c>
      <c r="C81" s="88" t="s">
        <v>108</v>
      </c>
      <c r="D81" s="86"/>
    </row>
    <row r="82" spans="1:4" ht="12" hidden="1" customHeight="1" outlineLevel="1" x14ac:dyDescent="0.25">
      <c r="A82" s="83"/>
      <c r="B82" s="48">
        <v>5000</v>
      </c>
      <c r="C82" s="49" t="s">
        <v>110</v>
      </c>
      <c r="D82" s="89"/>
    </row>
    <row r="83" spans="1:4" ht="12" hidden="1" customHeight="1" outlineLevel="1" x14ac:dyDescent="0.25">
      <c r="A83" s="83"/>
      <c r="B83" s="48">
        <v>6000</v>
      </c>
      <c r="C83" s="49" t="s">
        <v>320</v>
      </c>
      <c r="D83" s="86"/>
    </row>
    <row r="84" spans="1:4" ht="12" hidden="1" customHeight="1" outlineLevel="1" x14ac:dyDescent="0.25">
      <c r="A84" s="83"/>
      <c r="B84" s="48">
        <v>7000</v>
      </c>
      <c r="C84" s="49" t="s">
        <v>321</v>
      </c>
      <c r="D84" s="86"/>
    </row>
    <row r="85" spans="1:4" ht="12" hidden="1" customHeight="1" outlineLevel="1" x14ac:dyDescent="0.25">
      <c r="A85" s="83"/>
      <c r="B85" s="90">
        <v>8000</v>
      </c>
      <c r="C85" s="91" t="s">
        <v>116</v>
      </c>
      <c r="D85" s="89"/>
    </row>
    <row r="86" spans="1:4" ht="12" hidden="1" customHeight="1" outlineLevel="1" x14ac:dyDescent="0.25">
      <c r="A86" s="92" t="s">
        <v>121</v>
      </c>
      <c r="B86" s="93"/>
      <c r="C86" s="94" t="s">
        <v>122</v>
      </c>
      <c r="D86" s="95">
        <f t="shared" ref="D86" si="12">D87+D92+D95</f>
        <v>0</v>
      </c>
    </row>
    <row r="87" spans="1:4" ht="12" hidden="1" customHeight="1" outlineLevel="1" x14ac:dyDescent="0.25">
      <c r="A87" s="76"/>
      <c r="B87" s="77"/>
      <c r="C87" s="78" t="s">
        <v>319</v>
      </c>
      <c r="D87" s="79">
        <f t="shared" ref="D87" si="13">D88+D90+D91+D93+D94+D89</f>
        <v>0</v>
      </c>
    </row>
    <row r="88" spans="1:4" ht="12" hidden="1" customHeight="1" outlineLevel="1" x14ac:dyDescent="0.25">
      <c r="A88" s="76"/>
      <c r="B88" s="80">
        <v>1000</v>
      </c>
      <c r="C88" s="81" t="s">
        <v>102</v>
      </c>
      <c r="D88" s="82"/>
    </row>
    <row r="89" spans="1:4" ht="12" hidden="1" customHeight="1" outlineLevel="1" x14ac:dyDescent="0.25">
      <c r="A89" s="83"/>
      <c r="B89" s="84">
        <v>2000</v>
      </c>
      <c r="C89" s="85" t="s">
        <v>104</v>
      </c>
      <c r="D89" s="86"/>
    </row>
    <row r="90" spans="1:4" ht="12" hidden="1" customHeight="1" outlineLevel="1" x14ac:dyDescent="0.25">
      <c r="A90" s="83"/>
      <c r="B90" s="48">
        <v>3000</v>
      </c>
      <c r="C90" s="87" t="s">
        <v>106</v>
      </c>
      <c r="D90" s="86"/>
    </row>
    <row r="91" spans="1:4" ht="12" hidden="1" customHeight="1" outlineLevel="1" x14ac:dyDescent="0.25">
      <c r="A91" s="83"/>
      <c r="B91" s="48">
        <v>4000</v>
      </c>
      <c r="C91" s="88" t="s">
        <v>108</v>
      </c>
      <c r="D91" s="86"/>
    </row>
    <row r="92" spans="1:4" ht="12" hidden="1" customHeight="1" outlineLevel="1" x14ac:dyDescent="0.25">
      <c r="A92" s="83"/>
      <c r="B92" s="48">
        <v>5000</v>
      </c>
      <c r="C92" s="49" t="s">
        <v>110</v>
      </c>
      <c r="D92" s="89"/>
    </row>
    <row r="93" spans="1:4" ht="12" hidden="1" customHeight="1" outlineLevel="1" x14ac:dyDescent="0.25">
      <c r="A93" s="83"/>
      <c r="B93" s="48">
        <v>6000</v>
      </c>
      <c r="C93" s="49" t="s">
        <v>320</v>
      </c>
      <c r="D93" s="86"/>
    </row>
    <row r="94" spans="1:4" ht="12" hidden="1" customHeight="1" outlineLevel="1" x14ac:dyDescent="0.25">
      <c r="A94" s="83"/>
      <c r="B94" s="48">
        <v>7000</v>
      </c>
      <c r="C94" s="49" t="s">
        <v>321</v>
      </c>
      <c r="D94" s="86"/>
    </row>
    <row r="95" spans="1:4" ht="12" hidden="1" customHeight="1" outlineLevel="1" x14ac:dyDescent="0.25">
      <c r="A95" s="83"/>
      <c r="B95" s="90">
        <v>8000</v>
      </c>
      <c r="C95" s="91" t="s">
        <v>116</v>
      </c>
      <c r="D95" s="89"/>
    </row>
    <row r="96" spans="1:4" ht="23.25" hidden="1" customHeight="1" outlineLevel="1" x14ac:dyDescent="0.25">
      <c r="A96" s="92" t="s">
        <v>123</v>
      </c>
      <c r="B96" s="93"/>
      <c r="C96" s="94" t="s">
        <v>324</v>
      </c>
      <c r="D96" s="95">
        <f t="shared" ref="D96" si="14">D97+D102+D105</f>
        <v>0</v>
      </c>
    </row>
    <row r="97" spans="1:4" ht="12" hidden="1" customHeight="1" outlineLevel="1" x14ac:dyDescent="0.25">
      <c r="A97" s="76"/>
      <c r="B97" s="77"/>
      <c r="C97" s="78" t="s">
        <v>319</v>
      </c>
      <c r="D97" s="79">
        <f t="shared" ref="D97" si="15">D98+D100+D101+D103+D104+D99</f>
        <v>0</v>
      </c>
    </row>
    <row r="98" spans="1:4" ht="12" hidden="1" customHeight="1" outlineLevel="1" x14ac:dyDescent="0.25">
      <c r="A98" s="76"/>
      <c r="B98" s="80">
        <v>1000</v>
      </c>
      <c r="C98" s="81" t="s">
        <v>102</v>
      </c>
      <c r="D98" s="82"/>
    </row>
    <row r="99" spans="1:4" ht="12" hidden="1" customHeight="1" outlineLevel="1" x14ac:dyDescent="0.25">
      <c r="A99" s="83"/>
      <c r="B99" s="84">
        <v>2000</v>
      </c>
      <c r="C99" s="85" t="s">
        <v>104</v>
      </c>
      <c r="D99" s="86"/>
    </row>
    <row r="100" spans="1:4" ht="12" hidden="1" customHeight="1" outlineLevel="1" x14ac:dyDescent="0.25">
      <c r="A100" s="83"/>
      <c r="B100" s="48">
        <v>3000</v>
      </c>
      <c r="C100" s="87" t="s">
        <v>106</v>
      </c>
      <c r="D100" s="86"/>
    </row>
    <row r="101" spans="1:4" ht="12" hidden="1" customHeight="1" outlineLevel="1" x14ac:dyDescent="0.25">
      <c r="A101" s="83"/>
      <c r="B101" s="48">
        <v>4000</v>
      </c>
      <c r="C101" s="88" t="s">
        <v>108</v>
      </c>
      <c r="D101" s="86"/>
    </row>
    <row r="102" spans="1:4" ht="12" hidden="1" customHeight="1" outlineLevel="1" x14ac:dyDescent="0.25">
      <c r="A102" s="83"/>
      <c r="B102" s="48">
        <v>5000</v>
      </c>
      <c r="C102" s="49" t="s">
        <v>110</v>
      </c>
      <c r="D102" s="89"/>
    </row>
    <row r="103" spans="1:4" ht="12" hidden="1" customHeight="1" outlineLevel="1" x14ac:dyDescent="0.25">
      <c r="A103" s="83"/>
      <c r="B103" s="48">
        <v>6000</v>
      </c>
      <c r="C103" s="49" t="s">
        <v>320</v>
      </c>
      <c r="D103" s="86"/>
    </row>
    <row r="104" spans="1:4" ht="12" hidden="1" customHeight="1" outlineLevel="1" x14ac:dyDescent="0.25">
      <c r="A104" s="83"/>
      <c r="B104" s="48">
        <v>7000</v>
      </c>
      <c r="C104" s="49" t="s">
        <v>321</v>
      </c>
      <c r="D104" s="86"/>
    </row>
    <row r="105" spans="1:4" ht="12" hidden="1" customHeight="1" outlineLevel="1" x14ac:dyDescent="0.25">
      <c r="A105" s="83"/>
      <c r="B105" s="90">
        <v>8000</v>
      </c>
      <c r="C105" s="91" t="s">
        <v>116</v>
      </c>
      <c r="D105" s="89"/>
    </row>
    <row r="106" spans="1:4" ht="26.25" hidden="1" customHeight="1" outlineLevel="1" x14ac:dyDescent="0.25">
      <c r="A106" s="92" t="s">
        <v>125</v>
      </c>
      <c r="B106" s="93"/>
      <c r="C106" s="94" t="s">
        <v>325</v>
      </c>
      <c r="D106" s="95">
        <f t="shared" ref="D106" si="16">D107+D124+D130</f>
        <v>0</v>
      </c>
    </row>
    <row r="107" spans="1:4" ht="12" hidden="1" customHeight="1" outlineLevel="1" x14ac:dyDescent="0.25">
      <c r="A107" s="76"/>
      <c r="B107" s="77"/>
      <c r="C107" s="78" t="s">
        <v>319</v>
      </c>
      <c r="D107" s="79">
        <f>D108+D109+D110+D111+D113+D114</f>
        <v>0</v>
      </c>
    </row>
    <row r="108" spans="1:4" ht="12" hidden="1" customHeight="1" outlineLevel="1" x14ac:dyDescent="0.25">
      <c r="A108" s="76"/>
      <c r="B108" s="80">
        <v>1000</v>
      </c>
      <c r="C108" s="81" t="s">
        <v>102</v>
      </c>
      <c r="D108" s="82">
        <f t="shared" ref="D108:D115" si="17">D118+D128</f>
        <v>0</v>
      </c>
    </row>
    <row r="109" spans="1:4" ht="12" hidden="1" customHeight="1" outlineLevel="1" x14ac:dyDescent="0.25">
      <c r="A109" s="83"/>
      <c r="B109" s="84">
        <v>2000</v>
      </c>
      <c r="C109" s="85" t="s">
        <v>104</v>
      </c>
      <c r="D109" s="86">
        <f t="shared" si="17"/>
        <v>0</v>
      </c>
    </row>
    <row r="110" spans="1:4" ht="12" hidden="1" customHeight="1" outlineLevel="1" x14ac:dyDescent="0.25">
      <c r="A110" s="83"/>
      <c r="B110" s="48">
        <v>3000</v>
      </c>
      <c r="C110" s="87" t="s">
        <v>106</v>
      </c>
      <c r="D110" s="86">
        <f t="shared" si="17"/>
        <v>0</v>
      </c>
    </row>
    <row r="111" spans="1:4" ht="12" hidden="1" customHeight="1" outlineLevel="1" x14ac:dyDescent="0.25">
      <c r="A111" s="83"/>
      <c r="B111" s="48">
        <v>4000</v>
      </c>
      <c r="C111" s="88" t="s">
        <v>108</v>
      </c>
      <c r="D111" s="86">
        <f t="shared" si="17"/>
        <v>0</v>
      </c>
    </row>
    <row r="112" spans="1:4" ht="12" hidden="1" customHeight="1" outlineLevel="1" x14ac:dyDescent="0.25">
      <c r="A112" s="83"/>
      <c r="B112" s="48">
        <v>5000</v>
      </c>
      <c r="C112" s="49" t="s">
        <v>110</v>
      </c>
      <c r="D112" s="89">
        <f t="shared" si="17"/>
        <v>0</v>
      </c>
    </row>
    <row r="113" spans="1:4" ht="12" hidden="1" customHeight="1" outlineLevel="1" x14ac:dyDescent="0.25">
      <c r="A113" s="83"/>
      <c r="B113" s="48">
        <v>6000</v>
      </c>
      <c r="C113" s="49" t="s">
        <v>320</v>
      </c>
      <c r="D113" s="86">
        <f t="shared" si="17"/>
        <v>0</v>
      </c>
    </row>
    <row r="114" spans="1:4" ht="12" hidden="1" customHeight="1" outlineLevel="1" x14ac:dyDescent="0.25">
      <c r="A114" s="83"/>
      <c r="B114" s="48">
        <v>7000</v>
      </c>
      <c r="C114" s="49" t="s">
        <v>321</v>
      </c>
      <c r="D114" s="86">
        <f t="shared" si="17"/>
        <v>0</v>
      </c>
    </row>
    <row r="115" spans="1:4" ht="12" hidden="1" customHeight="1" outlineLevel="1" x14ac:dyDescent="0.25">
      <c r="A115" s="83"/>
      <c r="B115" s="90">
        <v>8000</v>
      </c>
      <c r="C115" s="91" t="s">
        <v>116</v>
      </c>
      <c r="D115" s="89">
        <f t="shared" si="17"/>
        <v>0</v>
      </c>
    </row>
    <row r="116" spans="1:4" ht="12" hidden="1" customHeight="1" outlineLevel="1" x14ac:dyDescent="0.25">
      <c r="A116" s="96" t="s">
        <v>127</v>
      </c>
      <c r="B116" s="97"/>
      <c r="C116" s="98" t="s">
        <v>326</v>
      </c>
      <c r="D116" s="99">
        <f t="shared" ref="D116" si="18">D117+D122+D125</f>
        <v>0</v>
      </c>
    </row>
    <row r="117" spans="1:4" ht="12" hidden="1" customHeight="1" outlineLevel="1" x14ac:dyDescent="0.25">
      <c r="A117" s="100"/>
      <c r="B117" s="101"/>
      <c r="C117" s="102" t="s">
        <v>319</v>
      </c>
      <c r="D117" s="79">
        <f t="shared" ref="D117" si="19">D118+D119+D120+D121+D123+D124</f>
        <v>0</v>
      </c>
    </row>
    <row r="118" spans="1:4" ht="12" hidden="1" customHeight="1" outlineLevel="1" x14ac:dyDescent="0.25">
      <c r="A118" s="76"/>
      <c r="B118" s="80">
        <v>1000</v>
      </c>
      <c r="C118" s="81" t="s">
        <v>102</v>
      </c>
      <c r="D118" s="82"/>
    </row>
    <row r="119" spans="1:4" ht="12" hidden="1" customHeight="1" outlineLevel="1" x14ac:dyDescent="0.25">
      <c r="A119" s="83"/>
      <c r="B119" s="84">
        <v>2000</v>
      </c>
      <c r="C119" s="85" t="s">
        <v>104</v>
      </c>
      <c r="D119" s="86"/>
    </row>
    <row r="120" spans="1:4" ht="12" hidden="1" customHeight="1" outlineLevel="1" x14ac:dyDescent="0.25">
      <c r="A120" s="83"/>
      <c r="B120" s="48">
        <v>3000</v>
      </c>
      <c r="C120" s="87" t="s">
        <v>106</v>
      </c>
      <c r="D120" s="86"/>
    </row>
    <row r="121" spans="1:4" ht="12" hidden="1" customHeight="1" outlineLevel="1" x14ac:dyDescent="0.25">
      <c r="A121" s="83"/>
      <c r="B121" s="48">
        <v>4000</v>
      </c>
      <c r="C121" s="88" t="s">
        <v>108</v>
      </c>
      <c r="D121" s="86"/>
    </row>
    <row r="122" spans="1:4" ht="12" hidden="1" customHeight="1" outlineLevel="1" x14ac:dyDescent="0.25">
      <c r="A122" s="83"/>
      <c r="B122" s="48">
        <v>5000</v>
      </c>
      <c r="C122" s="49" t="s">
        <v>110</v>
      </c>
      <c r="D122" s="89"/>
    </row>
    <row r="123" spans="1:4" ht="12" hidden="1" customHeight="1" outlineLevel="1" x14ac:dyDescent="0.25">
      <c r="A123" s="83"/>
      <c r="B123" s="48">
        <v>6000</v>
      </c>
      <c r="C123" s="49" t="s">
        <v>320</v>
      </c>
      <c r="D123" s="86"/>
    </row>
    <row r="124" spans="1:4" ht="12" hidden="1" customHeight="1" outlineLevel="1" x14ac:dyDescent="0.25">
      <c r="A124" s="83"/>
      <c r="B124" s="48">
        <v>7000</v>
      </c>
      <c r="C124" s="49" t="s">
        <v>321</v>
      </c>
      <c r="D124" s="86"/>
    </row>
    <row r="125" spans="1:4" ht="12" hidden="1" customHeight="1" outlineLevel="1" x14ac:dyDescent="0.25">
      <c r="A125" s="83"/>
      <c r="B125" s="90">
        <v>8000</v>
      </c>
      <c r="C125" s="91" t="s">
        <v>116</v>
      </c>
      <c r="D125" s="89"/>
    </row>
    <row r="126" spans="1:4" ht="27.75" hidden="1" customHeight="1" outlineLevel="1" x14ac:dyDescent="0.25">
      <c r="A126" s="96" t="s">
        <v>129</v>
      </c>
      <c r="B126" s="97"/>
      <c r="C126" s="103" t="s">
        <v>327</v>
      </c>
      <c r="D126" s="99">
        <f>D127+D132+D135</f>
        <v>0</v>
      </c>
    </row>
    <row r="127" spans="1:4" ht="12" hidden="1" customHeight="1" outlineLevel="1" x14ac:dyDescent="0.25">
      <c r="A127" s="100"/>
      <c r="B127" s="101"/>
      <c r="C127" s="102" t="s">
        <v>319</v>
      </c>
      <c r="D127" s="79">
        <f>D129+D131+D133+D134+D130</f>
        <v>0</v>
      </c>
    </row>
    <row r="128" spans="1:4" ht="12" hidden="1" customHeight="1" outlineLevel="1" x14ac:dyDescent="0.25">
      <c r="A128" s="76"/>
      <c r="B128" s="80">
        <v>1000</v>
      </c>
      <c r="C128" s="81" t="s">
        <v>102</v>
      </c>
      <c r="D128" s="82"/>
    </row>
    <row r="129" spans="1:4" ht="12" hidden="1" customHeight="1" outlineLevel="1" x14ac:dyDescent="0.25">
      <c r="A129" s="83"/>
      <c r="B129" s="84">
        <v>2000</v>
      </c>
      <c r="C129" s="85" t="s">
        <v>104</v>
      </c>
      <c r="D129" s="86"/>
    </row>
    <row r="130" spans="1:4" ht="12" hidden="1" customHeight="1" outlineLevel="1" x14ac:dyDescent="0.25">
      <c r="A130" s="83"/>
      <c r="B130" s="48">
        <v>3000</v>
      </c>
      <c r="C130" s="87" t="s">
        <v>106</v>
      </c>
      <c r="D130" s="86"/>
    </row>
    <row r="131" spans="1:4" ht="12" hidden="1" customHeight="1" outlineLevel="1" x14ac:dyDescent="0.25">
      <c r="A131" s="83"/>
      <c r="B131" s="48">
        <v>4000</v>
      </c>
      <c r="C131" s="88" t="s">
        <v>108</v>
      </c>
      <c r="D131" s="86"/>
    </row>
    <row r="132" spans="1:4" ht="12" hidden="1" customHeight="1" outlineLevel="1" x14ac:dyDescent="0.25">
      <c r="A132" s="83"/>
      <c r="B132" s="48">
        <v>5000</v>
      </c>
      <c r="C132" s="49" t="s">
        <v>110</v>
      </c>
      <c r="D132" s="89"/>
    </row>
    <row r="133" spans="1:4" ht="12" hidden="1" customHeight="1" outlineLevel="1" x14ac:dyDescent="0.25">
      <c r="A133" s="83"/>
      <c r="B133" s="48">
        <v>6000</v>
      </c>
      <c r="C133" s="49" t="s">
        <v>320</v>
      </c>
      <c r="D133" s="86"/>
    </row>
    <row r="134" spans="1:4" ht="12" hidden="1" customHeight="1" outlineLevel="1" x14ac:dyDescent="0.25">
      <c r="A134" s="83"/>
      <c r="B134" s="48">
        <v>7000</v>
      </c>
      <c r="C134" s="49" t="s">
        <v>321</v>
      </c>
      <c r="D134" s="86"/>
    </row>
    <row r="135" spans="1:4" ht="12" hidden="1" customHeight="1" outlineLevel="1" x14ac:dyDescent="0.25">
      <c r="A135" s="83"/>
      <c r="B135" s="90">
        <v>8000</v>
      </c>
      <c r="C135" s="91" t="s">
        <v>116</v>
      </c>
      <c r="D135" s="89"/>
    </row>
    <row r="136" spans="1:4" ht="17.100000000000001" hidden="1" customHeight="1" outlineLevel="1" x14ac:dyDescent="0.25">
      <c r="A136" s="72" t="s">
        <v>131</v>
      </c>
      <c r="B136" s="73"/>
      <c r="C136" s="74" t="s">
        <v>132</v>
      </c>
      <c r="D136" s="75">
        <f t="shared" ref="D136" si="20">D137+D142+D145</f>
        <v>0</v>
      </c>
    </row>
    <row r="137" spans="1:4" ht="12" hidden="1" customHeight="1" outlineLevel="1" x14ac:dyDescent="0.25">
      <c r="A137" s="76"/>
      <c r="B137" s="77"/>
      <c r="C137" s="78" t="s">
        <v>319</v>
      </c>
      <c r="D137" s="79">
        <f t="shared" ref="D137" si="21">D138+D139+D140+D141+D143+D144</f>
        <v>0</v>
      </c>
    </row>
    <row r="138" spans="1:4" ht="12" hidden="1" customHeight="1" outlineLevel="1" x14ac:dyDescent="0.25">
      <c r="A138" s="76"/>
      <c r="B138" s="80">
        <v>1000</v>
      </c>
      <c r="C138" s="81" t="s">
        <v>102</v>
      </c>
      <c r="D138" s="82">
        <f>D148+D158+D168+D178</f>
        <v>0</v>
      </c>
    </row>
    <row r="139" spans="1:4" ht="12" hidden="1" customHeight="1" outlineLevel="1" x14ac:dyDescent="0.25">
      <c r="A139" s="83"/>
      <c r="B139" s="84">
        <v>2000</v>
      </c>
      <c r="C139" s="85" t="s">
        <v>104</v>
      </c>
      <c r="D139" s="86">
        <f>D149+D159+D169+D179</f>
        <v>0</v>
      </c>
    </row>
    <row r="140" spans="1:4" ht="12" hidden="1" customHeight="1" outlineLevel="1" x14ac:dyDescent="0.25">
      <c r="A140" s="83"/>
      <c r="B140" s="48">
        <v>3000</v>
      </c>
      <c r="C140" s="87" t="s">
        <v>106</v>
      </c>
      <c r="D140" s="86">
        <f t="shared" ref="D140:D145" si="22">D150+D160</f>
        <v>0</v>
      </c>
    </row>
    <row r="141" spans="1:4" ht="12" hidden="1" customHeight="1" outlineLevel="1" x14ac:dyDescent="0.25">
      <c r="A141" s="83"/>
      <c r="B141" s="48">
        <v>4000</v>
      </c>
      <c r="C141" s="88" t="s">
        <v>108</v>
      </c>
      <c r="D141" s="86">
        <f t="shared" si="22"/>
        <v>0</v>
      </c>
    </row>
    <row r="142" spans="1:4" ht="12" hidden="1" customHeight="1" outlineLevel="1" x14ac:dyDescent="0.25">
      <c r="A142" s="83"/>
      <c r="B142" s="48">
        <v>5000</v>
      </c>
      <c r="C142" s="49" t="s">
        <v>110</v>
      </c>
      <c r="D142" s="89">
        <f t="shared" si="22"/>
        <v>0</v>
      </c>
    </row>
    <row r="143" spans="1:4" ht="12" hidden="1" customHeight="1" outlineLevel="1" x14ac:dyDescent="0.25">
      <c r="A143" s="83"/>
      <c r="B143" s="48">
        <v>6000</v>
      </c>
      <c r="C143" s="49" t="s">
        <v>320</v>
      </c>
      <c r="D143" s="86">
        <f t="shared" si="22"/>
        <v>0</v>
      </c>
    </row>
    <row r="144" spans="1:4" ht="12" hidden="1" customHeight="1" outlineLevel="1" x14ac:dyDescent="0.25">
      <c r="A144" s="83"/>
      <c r="B144" s="48">
        <v>7000</v>
      </c>
      <c r="C144" s="49" t="s">
        <v>321</v>
      </c>
      <c r="D144" s="86">
        <f t="shared" si="22"/>
        <v>0</v>
      </c>
    </row>
    <row r="145" spans="1:4" ht="12" hidden="1" customHeight="1" outlineLevel="1" x14ac:dyDescent="0.25">
      <c r="A145" s="83"/>
      <c r="B145" s="90">
        <v>8000</v>
      </c>
      <c r="C145" s="91" t="s">
        <v>116</v>
      </c>
      <c r="D145" s="89">
        <f t="shared" si="22"/>
        <v>0</v>
      </c>
    </row>
    <row r="146" spans="1:4" ht="12" hidden="1" customHeight="1" outlineLevel="1" x14ac:dyDescent="0.25">
      <c r="A146" s="92" t="s">
        <v>133</v>
      </c>
      <c r="B146" s="93"/>
      <c r="C146" s="94" t="s">
        <v>134</v>
      </c>
      <c r="D146" s="95">
        <f t="shared" ref="D146" si="23">D147+D152+D155</f>
        <v>0</v>
      </c>
    </row>
    <row r="147" spans="1:4" ht="12" hidden="1" customHeight="1" outlineLevel="1" x14ac:dyDescent="0.25">
      <c r="A147" s="76"/>
      <c r="B147" s="77"/>
      <c r="C147" s="78" t="s">
        <v>319</v>
      </c>
      <c r="D147" s="79">
        <f t="shared" ref="D147" si="24">D148+D149+D150+D151+D153+D154</f>
        <v>0</v>
      </c>
    </row>
    <row r="148" spans="1:4" ht="12" hidden="1" customHeight="1" outlineLevel="1" x14ac:dyDescent="0.25">
      <c r="A148" s="76"/>
      <c r="B148" s="80">
        <v>1000</v>
      </c>
      <c r="C148" s="81" t="s">
        <v>102</v>
      </c>
      <c r="D148" s="82"/>
    </row>
    <row r="149" spans="1:4" ht="12" hidden="1" customHeight="1" outlineLevel="1" x14ac:dyDescent="0.25">
      <c r="A149" s="83"/>
      <c r="B149" s="84">
        <v>2000</v>
      </c>
      <c r="C149" s="85" t="s">
        <v>104</v>
      </c>
      <c r="D149" s="86"/>
    </row>
    <row r="150" spans="1:4" ht="12" hidden="1" customHeight="1" outlineLevel="1" x14ac:dyDescent="0.25">
      <c r="A150" s="83"/>
      <c r="B150" s="48">
        <v>3000</v>
      </c>
      <c r="C150" s="87" t="s">
        <v>106</v>
      </c>
      <c r="D150" s="86"/>
    </row>
    <row r="151" spans="1:4" ht="12" hidden="1" customHeight="1" outlineLevel="1" x14ac:dyDescent="0.25">
      <c r="A151" s="83"/>
      <c r="B151" s="48">
        <v>4000</v>
      </c>
      <c r="C151" s="88" t="s">
        <v>108</v>
      </c>
      <c r="D151" s="86"/>
    </row>
    <row r="152" spans="1:4" ht="12" hidden="1" customHeight="1" outlineLevel="1" x14ac:dyDescent="0.25">
      <c r="A152" s="83"/>
      <c r="B152" s="48">
        <v>5000</v>
      </c>
      <c r="C152" s="49" t="s">
        <v>110</v>
      </c>
      <c r="D152" s="89"/>
    </row>
    <row r="153" spans="1:4" ht="12" hidden="1" customHeight="1" outlineLevel="1" x14ac:dyDescent="0.25">
      <c r="A153" s="83"/>
      <c r="B153" s="48">
        <v>6000</v>
      </c>
      <c r="C153" s="49" t="s">
        <v>320</v>
      </c>
      <c r="D153" s="86"/>
    </row>
    <row r="154" spans="1:4" ht="12" hidden="1" customHeight="1" outlineLevel="1" x14ac:dyDescent="0.25">
      <c r="A154" s="83"/>
      <c r="B154" s="48">
        <v>7000</v>
      </c>
      <c r="C154" s="49" t="s">
        <v>321</v>
      </c>
      <c r="D154" s="86"/>
    </row>
    <row r="155" spans="1:4" ht="12" hidden="1" customHeight="1" outlineLevel="1" x14ac:dyDescent="0.25">
      <c r="A155" s="83"/>
      <c r="B155" s="90">
        <v>8000</v>
      </c>
      <c r="C155" s="91" t="s">
        <v>116</v>
      </c>
      <c r="D155" s="89"/>
    </row>
    <row r="156" spans="1:4" ht="12" hidden="1" customHeight="1" outlineLevel="1" x14ac:dyDescent="0.25">
      <c r="A156" s="92" t="s">
        <v>135</v>
      </c>
      <c r="B156" s="93"/>
      <c r="C156" s="94" t="s">
        <v>136</v>
      </c>
      <c r="D156" s="95">
        <f t="shared" ref="D156" si="25">D157+D162+D165</f>
        <v>0</v>
      </c>
    </row>
    <row r="157" spans="1:4" ht="12" hidden="1" customHeight="1" outlineLevel="1" x14ac:dyDescent="0.25">
      <c r="A157" s="76"/>
      <c r="B157" s="77"/>
      <c r="C157" s="78" t="s">
        <v>328</v>
      </c>
      <c r="D157" s="79">
        <f t="shared" ref="D157" si="26">D158+D159+D160+D161+D163+D164</f>
        <v>0</v>
      </c>
    </row>
    <row r="158" spans="1:4" ht="12" hidden="1" customHeight="1" outlineLevel="1" x14ac:dyDescent="0.25">
      <c r="A158" s="76"/>
      <c r="B158" s="80">
        <v>1000</v>
      </c>
      <c r="C158" s="81" t="s">
        <v>102</v>
      </c>
      <c r="D158" s="82"/>
    </row>
    <row r="159" spans="1:4" ht="12" hidden="1" customHeight="1" outlineLevel="1" x14ac:dyDescent="0.25">
      <c r="A159" s="83"/>
      <c r="B159" s="84">
        <v>2000</v>
      </c>
      <c r="C159" s="85" t="s">
        <v>104</v>
      </c>
      <c r="D159" s="86"/>
    </row>
    <row r="160" spans="1:4" ht="12" hidden="1" customHeight="1" outlineLevel="1" x14ac:dyDescent="0.25">
      <c r="A160" s="83"/>
      <c r="B160" s="48">
        <v>3000</v>
      </c>
      <c r="C160" s="87" t="s">
        <v>106</v>
      </c>
      <c r="D160" s="86"/>
    </row>
    <row r="161" spans="1:4" ht="12" hidden="1" customHeight="1" outlineLevel="1" x14ac:dyDescent="0.25">
      <c r="A161" s="83"/>
      <c r="B161" s="48">
        <v>4000</v>
      </c>
      <c r="C161" s="88" t="s">
        <v>108</v>
      </c>
      <c r="D161" s="86"/>
    </row>
    <row r="162" spans="1:4" ht="12" hidden="1" customHeight="1" outlineLevel="1" x14ac:dyDescent="0.25">
      <c r="A162" s="83"/>
      <c r="B162" s="48">
        <v>5000</v>
      </c>
      <c r="C162" s="49" t="s">
        <v>110</v>
      </c>
      <c r="D162" s="89"/>
    </row>
    <row r="163" spans="1:4" ht="12" hidden="1" customHeight="1" outlineLevel="1" x14ac:dyDescent="0.25">
      <c r="A163" s="83"/>
      <c r="B163" s="48">
        <v>6000</v>
      </c>
      <c r="C163" s="49" t="s">
        <v>320</v>
      </c>
      <c r="D163" s="86"/>
    </row>
    <row r="164" spans="1:4" ht="12" hidden="1" customHeight="1" outlineLevel="1" x14ac:dyDescent="0.25">
      <c r="A164" s="83"/>
      <c r="B164" s="48">
        <v>7000</v>
      </c>
      <c r="C164" s="49" t="s">
        <v>321</v>
      </c>
      <c r="D164" s="86"/>
    </row>
    <row r="165" spans="1:4" ht="12" hidden="1" customHeight="1" outlineLevel="1" x14ac:dyDescent="0.25">
      <c r="A165" s="83"/>
      <c r="B165" s="90">
        <v>8000</v>
      </c>
      <c r="C165" s="91" t="s">
        <v>116</v>
      </c>
      <c r="D165" s="89"/>
    </row>
    <row r="166" spans="1:4" ht="12" hidden="1" customHeight="1" outlineLevel="1" x14ac:dyDescent="0.25">
      <c r="A166" s="92" t="s">
        <v>329</v>
      </c>
      <c r="B166" s="93"/>
      <c r="C166" s="94" t="s">
        <v>330</v>
      </c>
      <c r="D166" s="95">
        <f t="shared" ref="D166" si="27">D167+D172+D175</f>
        <v>0</v>
      </c>
    </row>
    <row r="167" spans="1:4" ht="12" hidden="1" customHeight="1" outlineLevel="1" x14ac:dyDescent="0.25">
      <c r="A167" s="76"/>
      <c r="B167" s="77"/>
      <c r="C167" s="78" t="s">
        <v>328</v>
      </c>
      <c r="D167" s="79">
        <f t="shared" ref="D167" si="28">D168+D169+D170+D171+D173+D174</f>
        <v>0</v>
      </c>
    </row>
    <row r="168" spans="1:4" ht="12" hidden="1" customHeight="1" outlineLevel="1" x14ac:dyDescent="0.25">
      <c r="A168" s="76"/>
      <c r="B168" s="80">
        <v>1000</v>
      </c>
      <c r="C168" s="81" t="s">
        <v>102</v>
      </c>
      <c r="D168" s="82"/>
    </row>
    <row r="169" spans="1:4" ht="12" hidden="1" customHeight="1" outlineLevel="1" x14ac:dyDescent="0.25">
      <c r="A169" s="83"/>
      <c r="B169" s="84">
        <v>2000</v>
      </c>
      <c r="C169" s="85" t="s">
        <v>104</v>
      </c>
      <c r="D169" s="86"/>
    </row>
    <row r="170" spans="1:4" ht="12" hidden="1" customHeight="1" outlineLevel="1" x14ac:dyDescent="0.25">
      <c r="A170" s="83"/>
      <c r="B170" s="48">
        <v>3000</v>
      </c>
      <c r="C170" s="87" t="s">
        <v>106</v>
      </c>
      <c r="D170" s="86"/>
    </row>
    <row r="171" spans="1:4" ht="12" hidden="1" customHeight="1" outlineLevel="1" x14ac:dyDescent="0.25">
      <c r="A171" s="83"/>
      <c r="B171" s="48">
        <v>4000</v>
      </c>
      <c r="C171" s="88" t="s">
        <v>108</v>
      </c>
      <c r="D171" s="86"/>
    </row>
    <row r="172" spans="1:4" ht="12" hidden="1" customHeight="1" outlineLevel="1" x14ac:dyDescent="0.25">
      <c r="A172" s="83"/>
      <c r="B172" s="48">
        <v>5000</v>
      </c>
      <c r="C172" s="49" t="s">
        <v>110</v>
      </c>
      <c r="D172" s="89"/>
    </row>
    <row r="173" spans="1:4" ht="12" hidden="1" customHeight="1" outlineLevel="1" x14ac:dyDescent="0.25">
      <c r="A173" s="83"/>
      <c r="B173" s="48">
        <v>6000</v>
      </c>
      <c r="C173" s="49" t="s">
        <v>320</v>
      </c>
      <c r="D173" s="86"/>
    </row>
    <row r="174" spans="1:4" ht="12" hidden="1" customHeight="1" outlineLevel="1" x14ac:dyDescent="0.25">
      <c r="A174" s="83"/>
      <c r="B174" s="48">
        <v>7000</v>
      </c>
      <c r="C174" s="49" t="s">
        <v>321</v>
      </c>
      <c r="D174" s="86"/>
    </row>
    <row r="175" spans="1:4" ht="12" hidden="1" customHeight="1" outlineLevel="1" x14ac:dyDescent="0.25">
      <c r="A175" s="83"/>
      <c r="B175" s="90">
        <v>8000</v>
      </c>
      <c r="C175" s="91" t="s">
        <v>116</v>
      </c>
      <c r="D175" s="89"/>
    </row>
    <row r="176" spans="1:4" ht="28.5" hidden="1" customHeight="1" outlineLevel="1" x14ac:dyDescent="0.25">
      <c r="A176" s="92" t="s">
        <v>331</v>
      </c>
      <c r="B176" s="93"/>
      <c r="C176" s="94" t="s">
        <v>332</v>
      </c>
      <c r="D176" s="95">
        <f t="shared" ref="D176" si="29">D177+D182+D185</f>
        <v>0</v>
      </c>
    </row>
    <row r="177" spans="1:4" ht="12" hidden="1" customHeight="1" outlineLevel="1" x14ac:dyDescent="0.25">
      <c r="A177" s="76"/>
      <c r="B177" s="77"/>
      <c r="C177" s="78" t="s">
        <v>328</v>
      </c>
      <c r="D177" s="79">
        <f t="shared" ref="D177" si="30">D178+D179+D180+D181+D183+D184</f>
        <v>0</v>
      </c>
    </row>
    <row r="178" spans="1:4" ht="12" hidden="1" customHeight="1" outlineLevel="1" x14ac:dyDescent="0.25">
      <c r="A178" s="76"/>
      <c r="B178" s="80">
        <v>1000</v>
      </c>
      <c r="C178" s="81" t="s">
        <v>102</v>
      </c>
      <c r="D178" s="82"/>
    </row>
    <row r="179" spans="1:4" ht="12" hidden="1" customHeight="1" outlineLevel="1" x14ac:dyDescent="0.25">
      <c r="A179" s="83"/>
      <c r="B179" s="84">
        <v>2000</v>
      </c>
      <c r="C179" s="85" t="s">
        <v>104</v>
      </c>
      <c r="D179" s="86"/>
    </row>
    <row r="180" spans="1:4" ht="12" hidden="1" customHeight="1" outlineLevel="1" x14ac:dyDescent="0.25">
      <c r="A180" s="83"/>
      <c r="B180" s="48">
        <v>3000</v>
      </c>
      <c r="C180" s="87" t="s">
        <v>106</v>
      </c>
      <c r="D180" s="86"/>
    </row>
    <row r="181" spans="1:4" ht="12" hidden="1" customHeight="1" outlineLevel="1" x14ac:dyDescent="0.25">
      <c r="A181" s="83"/>
      <c r="B181" s="48">
        <v>4000</v>
      </c>
      <c r="C181" s="88" t="s">
        <v>108</v>
      </c>
      <c r="D181" s="86"/>
    </row>
    <row r="182" spans="1:4" ht="12" hidden="1" customHeight="1" outlineLevel="1" x14ac:dyDescent="0.25">
      <c r="A182" s="83"/>
      <c r="B182" s="48">
        <v>5000</v>
      </c>
      <c r="C182" s="49" t="s">
        <v>110</v>
      </c>
      <c r="D182" s="89"/>
    </row>
    <row r="183" spans="1:4" ht="12" hidden="1" customHeight="1" outlineLevel="1" x14ac:dyDescent="0.25">
      <c r="A183" s="83"/>
      <c r="B183" s="48">
        <v>6000</v>
      </c>
      <c r="C183" s="49" t="s">
        <v>320</v>
      </c>
      <c r="D183" s="86"/>
    </row>
    <row r="184" spans="1:4" ht="12" hidden="1" customHeight="1" outlineLevel="1" x14ac:dyDescent="0.25">
      <c r="A184" s="83"/>
      <c r="B184" s="48">
        <v>7000</v>
      </c>
      <c r="C184" s="49" t="s">
        <v>321</v>
      </c>
      <c r="D184" s="86"/>
    </row>
    <row r="185" spans="1:4" ht="12" hidden="1" customHeight="1" outlineLevel="1" x14ac:dyDescent="0.25">
      <c r="A185" s="83"/>
      <c r="B185" s="90">
        <v>8000</v>
      </c>
      <c r="C185" s="91" t="s">
        <v>116</v>
      </c>
      <c r="D185" s="89"/>
    </row>
    <row r="186" spans="1:4" ht="17.100000000000001" hidden="1" customHeight="1" outlineLevel="1" x14ac:dyDescent="0.25">
      <c r="A186" s="104" t="s">
        <v>137</v>
      </c>
      <c r="B186" s="73"/>
      <c r="C186" s="74" t="s">
        <v>138</v>
      </c>
      <c r="D186" s="75">
        <f t="shared" ref="D186" si="31">D187+D192+D195</f>
        <v>0</v>
      </c>
    </row>
    <row r="187" spans="1:4" ht="12" hidden="1" customHeight="1" outlineLevel="1" x14ac:dyDescent="0.25">
      <c r="A187" s="76"/>
      <c r="B187" s="77"/>
      <c r="C187" s="78" t="s">
        <v>328</v>
      </c>
      <c r="D187" s="79">
        <f t="shared" ref="D187" si="32">D188+D189+D190+D191+D193+D194</f>
        <v>0</v>
      </c>
    </row>
    <row r="188" spans="1:4" ht="12" hidden="1" customHeight="1" outlineLevel="1" x14ac:dyDescent="0.25">
      <c r="A188" s="83"/>
      <c r="B188" s="80">
        <v>1000</v>
      </c>
      <c r="C188" s="81" t="s">
        <v>102</v>
      </c>
      <c r="D188" s="82">
        <f t="shared" ref="D188:D195" si="33">D198+D208+D238+D248+D258+D268+D298</f>
        <v>0</v>
      </c>
    </row>
    <row r="189" spans="1:4" ht="12" hidden="1" customHeight="1" outlineLevel="1" x14ac:dyDescent="0.25">
      <c r="A189" s="83"/>
      <c r="B189" s="84">
        <v>2000</v>
      </c>
      <c r="C189" s="85" t="s">
        <v>104</v>
      </c>
      <c r="D189" s="86">
        <f t="shared" si="33"/>
        <v>0</v>
      </c>
    </row>
    <row r="190" spans="1:4" ht="12" hidden="1" customHeight="1" outlineLevel="1" x14ac:dyDescent="0.25">
      <c r="A190" s="83"/>
      <c r="B190" s="48">
        <v>3000</v>
      </c>
      <c r="C190" s="87" t="s">
        <v>106</v>
      </c>
      <c r="D190" s="86">
        <f t="shared" si="33"/>
        <v>0</v>
      </c>
    </row>
    <row r="191" spans="1:4" ht="12" hidden="1" customHeight="1" outlineLevel="1" x14ac:dyDescent="0.25">
      <c r="A191" s="83"/>
      <c r="B191" s="48">
        <v>4000</v>
      </c>
      <c r="C191" s="88" t="s">
        <v>108</v>
      </c>
      <c r="D191" s="86">
        <f t="shared" si="33"/>
        <v>0</v>
      </c>
    </row>
    <row r="192" spans="1:4" ht="12" hidden="1" customHeight="1" outlineLevel="1" x14ac:dyDescent="0.25">
      <c r="A192" s="83"/>
      <c r="B192" s="48">
        <v>5000</v>
      </c>
      <c r="C192" s="49" t="s">
        <v>110</v>
      </c>
      <c r="D192" s="89">
        <f t="shared" si="33"/>
        <v>0</v>
      </c>
    </row>
    <row r="193" spans="1:4" ht="12" hidden="1" customHeight="1" outlineLevel="1" x14ac:dyDescent="0.25">
      <c r="A193" s="83"/>
      <c r="B193" s="48">
        <v>6000</v>
      </c>
      <c r="C193" s="49" t="s">
        <v>320</v>
      </c>
      <c r="D193" s="86">
        <f t="shared" si="33"/>
        <v>0</v>
      </c>
    </row>
    <row r="194" spans="1:4" ht="12" hidden="1" customHeight="1" outlineLevel="1" x14ac:dyDescent="0.25">
      <c r="A194" s="83"/>
      <c r="B194" s="48">
        <v>7000</v>
      </c>
      <c r="C194" s="49" t="s">
        <v>321</v>
      </c>
      <c r="D194" s="86">
        <f t="shared" si="33"/>
        <v>0</v>
      </c>
    </row>
    <row r="195" spans="1:4" ht="12" hidden="1" customHeight="1" outlineLevel="1" x14ac:dyDescent="0.25">
      <c r="A195" s="83"/>
      <c r="B195" s="90">
        <v>8000</v>
      </c>
      <c r="C195" s="91" t="s">
        <v>116</v>
      </c>
      <c r="D195" s="89">
        <f t="shared" si="33"/>
        <v>0</v>
      </c>
    </row>
    <row r="196" spans="1:4" ht="12" hidden="1" customHeight="1" outlineLevel="1" x14ac:dyDescent="0.25">
      <c r="A196" s="92" t="s">
        <v>139</v>
      </c>
      <c r="B196" s="93"/>
      <c r="C196" s="94" t="s">
        <v>333</v>
      </c>
      <c r="D196" s="95">
        <f t="shared" ref="D196" si="34">D197+D214+D234</f>
        <v>0</v>
      </c>
    </row>
    <row r="197" spans="1:4" ht="12" hidden="1" customHeight="1" outlineLevel="1" x14ac:dyDescent="0.25">
      <c r="A197" s="83"/>
      <c r="B197" s="77"/>
      <c r="C197" s="78" t="s">
        <v>328</v>
      </c>
      <c r="D197" s="79">
        <f t="shared" ref="D197" si="35">D198+D199+D200+D201+D203+D204</f>
        <v>0</v>
      </c>
    </row>
    <row r="198" spans="1:4" ht="12" hidden="1" customHeight="1" outlineLevel="1" x14ac:dyDescent="0.25">
      <c r="A198" s="83"/>
      <c r="B198" s="80">
        <v>1000</v>
      </c>
      <c r="C198" s="81" t="s">
        <v>102</v>
      </c>
      <c r="D198" s="82"/>
    </row>
    <row r="199" spans="1:4" ht="12" hidden="1" customHeight="1" outlineLevel="1" x14ac:dyDescent="0.25">
      <c r="A199" s="83"/>
      <c r="B199" s="84">
        <v>2000</v>
      </c>
      <c r="C199" s="85" t="s">
        <v>104</v>
      </c>
      <c r="D199" s="86"/>
    </row>
    <row r="200" spans="1:4" ht="12" hidden="1" customHeight="1" outlineLevel="1" x14ac:dyDescent="0.25">
      <c r="A200" s="83"/>
      <c r="B200" s="48">
        <v>3000</v>
      </c>
      <c r="C200" s="87" t="s">
        <v>106</v>
      </c>
      <c r="D200" s="86"/>
    </row>
    <row r="201" spans="1:4" ht="12" hidden="1" customHeight="1" outlineLevel="1" x14ac:dyDescent="0.25">
      <c r="A201" s="83"/>
      <c r="B201" s="48">
        <v>4000</v>
      </c>
      <c r="C201" s="88" t="s">
        <v>108</v>
      </c>
      <c r="D201" s="86"/>
    </row>
    <row r="202" spans="1:4" ht="12" hidden="1" customHeight="1" outlineLevel="1" x14ac:dyDescent="0.25">
      <c r="A202" s="83"/>
      <c r="B202" s="48">
        <v>5000</v>
      </c>
      <c r="C202" s="49" t="s">
        <v>110</v>
      </c>
      <c r="D202" s="89"/>
    </row>
    <row r="203" spans="1:4" ht="12" hidden="1" customHeight="1" outlineLevel="1" x14ac:dyDescent="0.25">
      <c r="A203" s="83"/>
      <c r="B203" s="48">
        <v>6000</v>
      </c>
      <c r="C203" s="49" t="s">
        <v>320</v>
      </c>
      <c r="D203" s="86"/>
    </row>
    <row r="204" spans="1:4" ht="12" hidden="1" customHeight="1" outlineLevel="1" x14ac:dyDescent="0.25">
      <c r="A204" s="83"/>
      <c r="B204" s="48">
        <v>7000</v>
      </c>
      <c r="C204" s="49" t="s">
        <v>321</v>
      </c>
      <c r="D204" s="86"/>
    </row>
    <row r="205" spans="1:4" ht="12" hidden="1" customHeight="1" outlineLevel="1" x14ac:dyDescent="0.25">
      <c r="A205" s="83"/>
      <c r="B205" s="90">
        <v>8000</v>
      </c>
      <c r="C205" s="91" t="s">
        <v>116</v>
      </c>
      <c r="D205" s="89"/>
    </row>
    <row r="206" spans="1:4" ht="13.5" hidden="1" customHeight="1" outlineLevel="1" x14ac:dyDescent="0.25">
      <c r="A206" s="92" t="s">
        <v>141</v>
      </c>
      <c r="B206" s="93"/>
      <c r="C206" s="94" t="s">
        <v>334</v>
      </c>
      <c r="D206" s="95">
        <f>D207++D212+D215</f>
        <v>0</v>
      </c>
    </row>
    <row r="207" spans="1:4" ht="13.5" hidden="1" customHeight="1" outlineLevel="1" x14ac:dyDescent="0.25">
      <c r="A207" s="83"/>
      <c r="B207" s="77"/>
      <c r="C207" s="78" t="s">
        <v>328</v>
      </c>
      <c r="D207" s="79">
        <f t="shared" ref="D207" si="36">D208+D209+D210+D211+D213+D214</f>
        <v>0</v>
      </c>
    </row>
    <row r="208" spans="1:4" ht="13.5" hidden="1" customHeight="1" outlineLevel="1" x14ac:dyDescent="0.25">
      <c r="A208" s="83"/>
      <c r="B208" s="80">
        <v>1000</v>
      </c>
      <c r="C208" s="81" t="s">
        <v>102</v>
      </c>
      <c r="D208" s="82">
        <f t="shared" ref="D208:D215" si="37">D218+D228</f>
        <v>0</v>
      </c>
    </row>
    <row r="209" spans="1:4" ht="12" hidden="1" customHeight="1" outlineLevel="1" x14ac:dyDescent="0.25">
      <c r="A209" s="83"/>
      <c r="B209" s="84">
        <v>2000</v>
      </c>
      <c r="C209" s="85" t="s">
        <v>104</v>
      </c>
      <c r="D209" s="86">
        <f t="shared" si="37"/>
        <v>0</v>
      </c>
    </row>
    <row r="210" spans="1:4" ht="13.5" hidden="1" customHeight="1" outlineLevel="1" x14ac:dyDescent="0.25">
      <c r="A210" s="83"/>
      <c r="B210" s="48">
        <v>3000</v>
      </c>
      <c r="C210" s="87" t="s">
        <v>106</v>
      </c>
      <c r="D210" s="86">
        <f t="shared" si="37"/>
        <v>0</v>
      </c>
    </row>
    <row r="211" spans="1:4" ht="13.5" hidden="1" customHeight="1" outlineLevel="1" x14ac:dyDescent="0.25">
      <c r="A211" s="83"/>
      <c r="B211" s="48">
        <v>4000</v>
      </c>
      <c r="C211" s="88" t="s">
        <v>108</v>
      </c>
      <c r="D211" s="86">
        <f t="shared" si="37"/>
        <v>0</v>
      </c>
    </row>
    <row r="212" spans="1:4" ht="12" hidden="1" customHeight="1" outlineLevel="1" x14ac:dyDescent="0.25">
      <c r="A212" s="83"/>
      <c r="B212" s="48">
        <v>5000</v>
      </c>
      <c r="C212" s="49" t="s">
        <v>110</v>
      </c>
      <c r="D212" s="89">
        <f t="shared" si="37"/>
        <v>0</v>
      </c>
    </row>
    <row r="213" spans="1:4" ht="12" hidden="1" customHeight="1" outlineLevel="1" x14ac:dyDescent="0.25">
      <c r="A213" s="83"/>
      <c r="B213" s="48">
        <v>6000</v>
      </c>
      <c r="C213" s="49" t="s">
        <v>320</v>
      </c>
      <c r="D213" s="86">
        <f t="shared" si="37"/>
        <v>0</v>
      </c>
    </row>
    <row r="214" spans="1:4" ht="12" hidden="1" customHeight="1" outlineLevel="1" x14ac:dyDescent="0.25">
      <c r="A214" s="83"/>
      <c r="B214" s="48">
        <v>7000</v>
      </c>
      <c r="C214" s="49" t="s">
        <v>321</v>
      </c>
      <c r="D214" s="86">
        <f t="shared" si="37"/>
        <v>0</v>
      </c>
    </row>
    <row r="215" spans="1:4" ht="12" hidden="1" customHeight="1" outlineLevel="1" x14ac:dyDescent="0.25">
      <c r="A215" s="83"/>
      <c r="B215" s="90">
        <v>8000</v>
      </c>
      <c r="C215" s="91" t="s">
        <v>116</v>
      </c>
      <c r="D215" s="89">
        <f t="shared" si="37"/>
        <v>0</v>
      </c>
    </row>
    <row r="216" spans="1:4" ht="12" hidden="1" customHeight="1" outlineLevel="1" x14ac:dyDescent="0.25">
      <c r="A216" s="96" t="s">
        <v>143</v>
      </c>
      <c r="B216" s="97"/>
      <c r="C216" s="98" t="s">
        <v>144</v>
      </c>
      <c r="D216" s="99">
        <f t="shared" ref="D216" si="38">D217+D222+D225</f>
        <v>0</v>
      </c>
    </row>
    <row r="217" spans="1:4" ht="12" hidden="1" customHeight="1" outlineLevel="1" x14ac:dyDescent="0.25">
      <c r="A217" s="83"/>
      <c r="B217" s="77"/>
      <c r="C217" s="78" t="s">
        <v>328</v>
      </c>
      <c r="D217" s="79">
        <f t="shared" ref="D217" si="39">D218+D219+D220+D221+D223+D224</f>
        <v>0</v>
      </c>
    </row>
    <row r="218" spans="1:4" ht="12" hidden="1" customHeight="1" outlineLevel="1" x14ac:dyDescent="0.25">
      <c r="A218" s="83"/>
      <c r="B218" s="80">
        <v>1000</v>
      </c>
      <c r="C218" s="81" t="s">
        <v>102</v>
      </c>
      <c r="D218" s="82"/>
    </row>
    <row r="219" spans="1:4" ht="12" hidden="1" customHeight="1" outlineLevel="1" x14ac:dyDescent="0.25">
      <c r="A219" s="83"/>
      <c r="B219" s="84">
        <v>2000</v>
      </c>
      <c r="C219" s="85" t="s">
        <v>104</v>
      </c>
      <c r="D219" s="86"/>
    </row>
    <row r="220" spans="1:4" ht="12" hidden="1" customHeight="1" outlineLevel="1" x14ac:dyDescent="0.25">
      <c r="A220" s="83"/>
      <c r="B220" s="48">
        <v>3000</v>
      </c>
      <c r="C220" s="87" t="s">
        <v>106</v>
      </c>
      <c r="D220" s="86"/>
    </row>
    <row r="221" spans="1:4" ht="12" hidden="1" customHeight="1" outlineLevel="1" x14ac:dyDescent="0.25">
      <c r="A221" s="83"/>
      <c r="B221" s="48">
        <v>4000</v>
      </c>
      <c r="C221" s="88" t="s">
        <v>108</v>
      </c>
      <c r="D221" s="86"/>
    </row>
    <row r="222" spans="1:4" ht="12" hidden="1" customHeight="1" outlineLevel="1" x14ac:dyDescent="0.25">
      <c r="A222" s="83"/>
      <c r="B222" s="48">
        <v>5000</v>
      </c>
      <c r="C222" s="49" t="s">
        <v>110</v>
      </c>
      <c r="D222" s="89"/>
    </row>
    <row r="223" spans="1:4" ht="12" hidden="1" customHeight="1" outlineLevel="1" x14ac:dyDescent="0.25">
      <c r="A223" s="83"/>
      <c r="B223" s="48">
        <v>6000</v>
      </c>
      <c r="C223" s="49" t="s">
        <v>320</v>
      </c>
      <c r="D223" s="86"/>
    </row>
    <row r="224" spans="1:4" ht="12" hidden="1" customHeight="1" outlineLevel="1" x14ac:dyDescent="0.25">
      <c r="A224" s="83"/>
      <c r="B224" s="48">
        <v>7000</v>
      </c>
      <c r="C224" s="49" t="s">
        <v>321</v>
      </c>
      <c r="D224" s="86"/>
    </row>
    <row r="225" spans="1:4" ht="12" hidden="1" customHeight="1" outlineLevel="1" x14ac:dyDescent="0.25">
      <c r="A225" s="83"/>
      <c r="B225" s="90">
        <v>8000</v>
      </c>
      <c r="C225" s="91" t="s">
        <v>116</v>
      </c>
      <c r="D225" s="89"/>
    </row>
    <row r="226" spans="1:4" ht="24" hidden="1" customHeight="1" outlineLevel="1" x14ac:dyDescent="0.25">
      <c r="A226" s="96" t="s">
        <v>145</v>
      </c>
      <c r="B226" s="97"/>
      <c r="C226" s="103" t="s">
        <v>335</v>
      </c>
      <c r="D226" s="99">
        <f t="shared" ref="D226" si="40">D227+D232+D235</f>
        <v>0</v>
      </c>
    </row>
    <row r="227" spans="1:4" ht="12" hidden="1" customHeight="1" outlineLevel="1" x14ac:dyDescent="0.25">
      <c r="A227" s="76"/>
      <c r="B227" s="77"/>
      <c r="C227" s="78" t="s">
        <v>328</v>
      </c>
      <c r="D227" s="79">
        <f t="shared" ref="D227" si="41">D228+D229+D230+D231+D233+D234</f>
        <v>0</v>
      </c>
    </row>
    <row r="228" spans="1:4" ht="12" hidden="1" customHeight="1" outlineLevel="1" x14ac:dyDescent="0.25">
      <c r="A228" s="76"/>
      <c r="B228" s="80">
        <v>1000</v>
      </c>
      <c r="C228" s="81" t="s">
        <v>102</v>
      </c>
      <c r="D228" s="82"/>
    </row>
    <row r="229" spans="1:4" ht="12" hidden="1" customHeight="1" outlineLevel="1" x14ac:dyDescent="0.25">
      <c r="A229" s="83"/>
      <c r="B229" s="84">
        <v>2000</v>
      </c>
      <c r="C229" s="85" t="s">
        <v>104</v>
      </c>
      <c r="D229" s="86"/>
    </row>
    <row r="230" spans="1:4" ht="12" hidden="1" customHeight="1" outlineLevel="1" x14ac:dyDescent="0.25">
      <c r="A230" s="83"/>
      <c r="B230" s="48">
        <v>3000</v>
      </c>
      <c r="C230" s="87" t="s">
        <v>106</v>
      </c>
      <c r="D230" s="86"/>
    </row>
    <row r="231" spans="1:4" ht="12" hidden="1" customHeight="1" outlineLevel="1" x14ac:dyDescent="0.25">
      <c r="A231" s="83"/>
      <c r="B231" s="48">
        <v>4000</v>
      </c>
      <c r="C231" s="88" t="s">
        <v>108</v>
      </c>
      <c r="D231" s="86"/>
    </row>
    <row r="232" spans="1:4" ht="12" hidden="1" customHeight="1" outlineLevel="1" x14ac:dyDescent="0.25">
      <c r="A232" s="83"/>
      <c r="B232" s="48">
        <v>5000</v>
      </c>
      <c r="C232" s="49" t="s">
        <v>110</v>
      </c>
      <c r="D232" s="89"/>
    </row>
    <row r="233" spans="1:4" ht="12" hidden="1" customHeight="1" outlineLevel="1" x14ac:dyDescent="0.25">
      <c r="A233" s="83"/>
      <c r="B233" s="48">
        <v>6000</v>
      </c>
      <c r="C233" s="49" t="s">
        <v>320</v>
      </c>
      <c r="D233" s="86"/>
    </row>
    <row r="234" spans="1:4" ht="12" hidden="1" customHeight="1" outlineLevel="1" x14ac:dyDescent="0.25">
      <c r="A234" s="83"/>
      <c r="B234" s="48">
        <v>7000</v>
      </c>
      <c r="C234" s="49" t="s">
        <v>321</v>
      </c>
      <c r="D234" s="86"/>
    </row>
    <row r="235" spans="1:4" ht="12" hidden="1" customHeight="1" outlineLevel="1" x14ac:dyDescent="0.25">
      <c r="A235" s="83"/>
      <c r="B235" s="90">
        <v>8000</v>
      </c>
      <c r="C235" s="91" t="s">
        <v>116</v>
      </c>
      <c r="D235" s="89"/>
    </row>
    <row r="236" spans="1:4" ht="12" hidden="1" customHeight="1" outlineLevel="1" x14ac:dyDescent="0.25">
      <c r="A236" s="92" t="s">
        <v>147</v>
      </c>
      <c r="B236" s="93"/>
      <c r="C236" s="94" t="s">
        <v>336</v>
      </c>
      <c r="D236" s="95">
        <f t="shared" ref="D236" si="42">D237+D242+D245</f>
        <v>0</v>
      </c>
    </row>
    <row r="237" spans="1:4" ht="12" hidden="1" customHeight="1" outlineLevel="1" x14ac:dyDescent="0.25">
      <c r="A237" s="76"/>
      <c r="B237" s="77"/>
      <c r="C237" s="78" t="s">
        <v>328</v>
      </c>
      <c r="D237" s="79">
        <f t="shared" ref="D237" si="43">D238+D239+D240+D241+D243+D244</f>
        <v>0</v>
      </c>
    </row>
    <row r="238" spans="1:4" ht="12" hidden="1" customHeight="1" outlineLevel="1" x14ac:dyDescent="0.25">
      <c r="A238" s="76"/>
      <c r="B238" s="80">
        <v>1000</v>
      </c>
      <c r="C238" s="81" t="s">
        <v>102</v>
      </c>
      <c r="D238" s="82"/>
    </row>
    <row r="239" spans="1:4" ht="12" hidden="1" customHeight="1" outlineLevel="1" x14ac:dyDescent="0.25">
      <c r="A239" s="83"/>
      <c r="B239" s="84">
        <v>2000</v>
      </c>
      <c r="C239" s="85" t="s">
        <v>104</v>
      </c>
      <c r="D239" s="86"/>
    </row>
    <row r="240" spans="1:4" ht="12" hidden="1" customHeight="1" outlineLevel="1" x14ac:dyDescent="0.25">
      <c r="A240" s="83"/>
      <c r="B240" s="48">
        <v>3000</v>
      </c>
      <c r="C240" s="87" t="s">
        <v>106</v>
      </c>
      <c r="D240" s="86"/>
    </row>
    <row r="241" spans="1:4" ht="12" hidden="1" customHeight="1" outlineLevel="1" x14ac:dyDescent="0.25">
      <c r="A241" s="83"/>
      <c r="B241" s="48">
        <v>4000</v>
      </c>
      <c r="C241" s="88" t="s">
        <v>108</v>
      </c>
      <c r="D241" s="86"/>
    </row>
    <row r="242" spans="1:4" ht="12" hidden="1" customHeight="1" outlineLevel="1" x14ac:dyDescent="0.25">
      <c r="A242" s="83"/>
      <c r="B242" s="48">
        <v>5000</v>
      </c>
      <c r="C242" s="49" t="s">
        <v>110</v>
      </c>
      <c r="D242" s="89"/>
    </row>
    <row r="243" spans="1:4" ht="12" hidden="1" customHeight="1" outlineLevel="1" x14ac:dyDescent="0.25">
      <c r="A243" s="83"/>
      <c r="B243" s="48">
        <v>6000</v>
      </c>
      <c r="C243" s="49" t="s">
        <v>320</v>
      </c>
      <c r="D243" s="86"/>
    </row>
    <row r="244" spans="1:4" ht="12" hidden="1" customHeight="1" outlineLevel="1" x14ac:dyDescent="0.25">
      <c r="A244" s="83"/>
      <c r="B244" s="48">
        <v>7000</v>
      </c>
      <c r="C244" s="49" t="s">
        <v>321</v>
      </c>
      <c r="D244" s="86"/>
    </row>
    <row r="245" spans="1:4" ht="12" hidden="1" customHeight="1" outlineLevel="1" x14ac:dyDescent="0.25">
      <c r="A245" s="83"/>
      <c r="B245" s="90">
        <v>8000</v>
      </c>
      <c r="C245" s="91" t="s">
        <v>116</v>
      </c>
      <c r="D245" s="89"/>
    </row>
    <row r="246" spans="1:4" ht="12" hidden="1" customHeight="1" outlineLevel="1" x14ac:dyDescent="0.25">
      <c r="A246" s="92" t="s">
        <v>149</v>
      </c>
      <c r="B246" s="93"/>
      <c r="C246" s="94" t="s">
        <v>337</v>
      </c>
      <c r="D246" s="95">
        <f t="shared" ref="D246" si="44">D247+D252+D255</f>
        <v>0</v>
      </c>
    </row>
    <row r="247" spans="1:4" ht="12" hidden="1" customHeight="1" outlineLevel="1" x14ac:dyDescent="0.25">
      <c r="A247" s="76"/>
      <c r="B247" s="77"/>
      <c r="C247" s="78" t="s">
        <v>319</v>
      </c>
      <c r="D247" s="79">
        <f t="shared" ref="D247" si="45">D248+D249+D250+D251+D253+D254</f>
        <v>0</v>
      </c>
    </row>
    <row r="248" spans="1:4" ht="12" hidden="1" customHeight="1" outlineLevel="1" x14ac:dyDescent="0.25">
      <c r="A248" s="76"/>
      <c r="B248" s="80">
        <v>1000</v>
      </c>
      <c r="C248" s="81" t="s">
        <v>102</v>
      </c>
      <c r="D248" s="82"/>
    </row>
    <row r="249" spans="1:4" ht="12" hidden="1" customHeight="1" outlineLevel="1" x14ac:dyDescent="0.25">
      <c r="A249" s="83"/>
      <c r="B249" s="84">
        <v>2000</v>
      </c>
      <c r="C249" s="85" t="s">
        <v>104</v>
      </c>
      <c r="D249" s="86"/>
    </row>
    <row r="250" spans="1:4" ht="12" hidden="1" customHeight="1" outlineLevel="1" x14ac:dyDescent="0.25">
      <c r="A250" s="83"/>
      <c r="B250" s="48">
        <v>3000</v>
      </c>
      <c r="C250" s="87" t="s">
        <v>106</v>
      </c>
      <c r="D250" s="86"/>
    </row>
    <row r="251" spans="1:4" ht="12" hidden="1" customHeight="1" outlineLevel="1" x14ac:dyDescent="0.25">
      <c r="A251" s="83"/>
      <c r="B251" s="48">
        <v>4000</v>
      </c>
      <c r="C251" s="88" t="s">
        <v>108</v>
      </c>
      <c r="D251" s="86"/>
    </row>
    <row r="252" spans="1:4" ht="12" hidden="1" customHeight="1" outlineLevel="1" x14ac:dyDescent="0.25">
      <c r="A252" s="83"/>
      <c r="B252" s="48">
        <v>5000</v>
      </c>
      <c r="C252" s="49" t="s">
        <v>110</v>
      </c>
      <c r="D252" s="89"/>
    </row>
    <row r="253" spans="1:4" ht="12" hidden="1" customHeight="1" outlineLevel="1" x14ac:dyDescent="0.25">
      <c r="A253" s="83"/>
      <c r="B253" s="48">
        <v>6000</v>
      </c>
      <c r="C253" s="49" t="s">
        <v>320</v>
      </c>
      <c r="D253" s="86"/>
    </row>
    <row r="254" spans="1:4" ht="12" hidden="1" customHeight="1" outlineLevel="1" x14ac:dyDescent="0.25">
      <c r="A254" s="83"/>
      <c r="B254" s="48">
        <v>7000</v>
      </c>
      <c r="C254" s="49" t="s">
        <v>321</v>
      </c>
      <c r="D254" s="86"/>
    </row>
    <row r="255" spans="1:4" ht="12" hidden="1" customHeight="1" outlineLevel="1" x14ac:dyDescent="0.25">
      <c r="A255" s="83"/>
      <c r="B255" s="90">
        <v>8000</v>
      </c>
      <c r="C255" s="91" t="s">
        <v>116</v>
      </c>
      <c r="D255" s="89"/>
    </row>
    <row r="256" spans="1:4" ht="12" hidden="1" customHeight="1" outlineLevel="1" x14ac:dyDescent="0.25">
      <c r="A256" s="92" t="s">
        <v>151</v>
      </c>
      <c r="B256" s="93"/>
      <c r="C256" s="94" t="s">
        <v>152</v>
      </c>
      <c r="D256" s="95">
        <f t="shared" ref="D256" si="46">D257+D262+D265</f>
        <v>0</v>
      </c>
    </row>
    <row r="257" spans="1:4" ht="12" hidden="1" customHeight="1" outlineLevel="1" x14ac:dyDescent="0.25">
      <c r="A257" s="76"/>
      <c r="B257" s="77"/>
      <c r="C257" s="78" t="s">
        <v>319</v>
      </c>
      <c r="D257" s="79">
        <f t="shared" ref="D257" si="47">D258+D259+D260+D261+D263+D264</f>
        <v>0</v>
      </c>
    </row>
    <row r="258" spans="1:4" ht="12" hidden="1" customHeight="1" outlineLevel="1" x14ac:dyDescent="0.25">
      <c r="A258" s="76"/>
      <c r="B258" s="80">
        <v>1000</v>
      </c>
      <c r="C258" s="81" t="s">
        <v>102</v>
      </c>
      <c r="D258" s="82"/>
    </row>
    <row r="259" spans="1:4" ht="12" hidden="1" customHeight="1" outlineLevel="1" x14ac:dyDescent="0.25">
      <c r="A259" s="83"/>
      <c r="B259" s="84">
        <v>2000</v>
      </c>
      <c r="C259" s="85" t="s">
        <v>104</v>
      </c>
      <c r="D259" s="86"/>
    </row>
    <row r="260" spans="1:4" ht="12" hidden="1" customHeight="1" outlineLevel="1" x14ac:dyDescent="0.25">
      <c r="A260" s="83"/>
      <c r="B260" s="48">
        <v>3000</v>
      </c>
      <c r="C260" s="87" t="s">
        <v>106</v>
      </c>
      <c r="D260" s="86"/>
    </row>
    <row r="261" spans="1:4" ht="12" hidden="1" customHeight="1" outlineLevel="1" x14ac:dyDescent="0.25">
      <c r="A261" s="83"/>
      <c r="B261" s="48">
        <v>4000</v>
      </c>
      <c r="C261" s="88" t="s">
        <v>108</v>
      </c>
      <c r="D261" s="86"/>
    </row>
    <row r="262" spans="1:4" ht="12" hidden="1" customHeight="1" outlineLevel="1" x14ac:dyDescent="0.25">
      <c r="A262" s="83"/>
      <c r="B262" s="48">
        <v>5000</v>
      </c>
      <c r="C262" s="49" t="s">
        <v>110</v>
      </c>
      <c r="D262" s="89"/>
    </row>
    <row r="263" spans="1:4" ht="12" hidden="1" customHeight="1" outlineLevel="1" x14ac:dyDescent="0.25">
      <c r="A263" s="83"/>
      <c r="B263" s="48">
        <v>6000</v>
      </c>
      <c r="C263" s="49" t="s">
        <v>320</v>
      </c>
      <c r="D263" s="86"/>
    </row>
    <row r="264" spans="1:4" ht="12" hidden="1" customHeight="1" outlineLevel="1" x14ac:dyDescent="0.25">
      <c r="A264" s="83"/>
      <c r="B264" s="48">
        <v>7000</v>
      </c>
      <c r="C264" s="49" t="s">
        <v>321</v>
      </c>
      <c r="D264" s="86"/>
    </row>
    <row r="265" spans="1:4" ht="12" hidden="1" customHeight="1" outlineLevel="1" x14ac:dyDescent="0.25">
      <c r="A265" s="83"/>
      <c r="B265" s="90">
        <v>8000</v>
      </c>
      <c r="C265" s="91" t="s">
        <v>116</v>
      </c>
      <c r="D265" s="89"/>
    </row>
    <row r="266" spans="1:4" ht="12" hidden="1" customHeight="1" outlineLevel="1" x14ac:dyDescent="0.25">
      <c r="A266" s="92" t="s">
        <v>153</v>
      </c>
      <c r="B266" s="93"/>
      <c r="C266" s="94" t="s">
        <v>154</v>
      </c>
      <c r="D266" s="95">
        <f t="shared" ref="D266" si="48">D267+D272+D275</f>
        <v>0</v>
      </c>
    </row>
    <row r="267" spans="1:4" ht="12" hidden="1" customHeight="1" outlineLevel="1" x14ac:dyDescent="0.25">
      <c r="A267" s="76"/>
      <c r="B267" s="77"/>
      <c r="C267" s="78" t="s">
        <v>319</v>
      </c>
      <c r="D267" s="79">
        <f t="shared" ref="D267" si="49">D268+D269+D270+D271+D273+D274</f>
        <v>0</v>
      </c>
    </row>
    <row r="268" spans="1:4" ht="12" hidden="1" customHeight="1" outlineLevel="1" x14ac:dyDescent="0.25">
      <c r="A268" s="76"/>
      <c r="B268" s="80">
        <v>1000</v>
      </c>
      <c r="C268" s="81" t="s">
        <v>102</v>
      </c>
      <c r="D268" s="82">
        <f t="shared" ref="D268:D275" si="50">D278+D288</f>
        <v>0</v>
      </c>
    </row>
    <row r="269" spans="1:4" ht="12" hidden="1" customHeight="1" outlineLevel="1" x14ac:dyDescent="0.25">
      <c r="A269" s="83"/>
      <c r="B269" s="84">
        <v>2000</v>
      </c>
      <c r="C269" s="85" t="s">
        <v>104</v>
      </c>
      <c r="D269" s="86">
        <f t="shared" si="50"/>
        <v>0</v>
      </c>
    </row>
    <row r="270" spans="1:4" ht="12" hidden="1" customHeight="1" outlineLevel="1" x14ac:dyDescent="0.25">
      <c r="A270" s="83"/>
      <c r="B270" s="48">
        <v>3000</v>
      </c>
      <c r="C270" s="87" t="s">
        <v>106</v>
      </c>
      <c r="D270" s="86">
        <f t="shared" si="50"/>
        <v>0</v>
      </c>
    </row>
    <row r="271" spans="1:4" ht="12" hidden="1" customHeight="1" outlineLevel="1" x14ac:dyDescent="0.25">
      <c r="A271" s="83"/>
      <c r="B271" s="48">
        <v>4000</v>
      </c>
      <c r="C271" s="88" t="s">
        <v>108</v>
      </c>
      <c r="D271" s="86">
        <f t="shared" si="50"/>
        <v>0</v>
      </c>
    </row>
    <row r="272" spans="1:4" ht="12" hidden="1" customHeight="1" outlineLevel="1" x14ac:dyDescent="0.25">
      <c r="A272" s="83"/>
      <c r="B272" s="48">
        <v>5000</v>
      </c>
      <c r="C272" s="49" t="s">
        <v>110</v>
      </c>
      <c r="D272" s="89">
        <f t="shared" si="50"/>
        <v>0</v>
      </c>
    </row>
    <row r="273" spans="1:4" ht="12" hidden="1" customHeight="1" outlineLevel="1" x14ac:dyDescent="0.25">
      <c r="A273" s="83"/>
      <c r="B273" s="48">
        <v>6000</v>
      </c>
      <c r="C273" s="49" t="s">
        <v>320</v>
      </c>
      <c r="D273" s="86">
        <f t="shared" si="50"/>
        <v>0</v>
      </c>
    </row>
    <row r="274" spans="1:4" ht="12" hidden="1" customHeight="1" outlineLevel="1" x14ac:dyDescent="0.25">
      <c r="A274" s="83"/>
      <c r="B274" s="48">
        <v>7000</v>
      </c>
      <c r="C274" s="49" t="s">
        <v>321</v>
      </c>
      <c r="D274" s="86">
        <f t="shared" si="50"/>
        <v>0</v>
      </c>
    </row>
    <row r="275" spans="1:4" ht="12" hidden="1" customHeight="1" outlineLevel="1" x14ac:dyDescent="0.25">
      <c r="A275" s="83"/>
      <c r="B275" s="90">
        <v>8000</v>
      </c>
      <c r="C275" s="91" t="s">
        <v>116</v>
      </c>
      <c r="D275" s="89">
        <f t="shared" si="50"/>
        <v>0</v>
      </c>
    </row>
    <row r="276" spans="1:4" ht="12" hidden="1" customHeight="1" outlineLevel="1" x14ac:dyDescent="0.25">
      <c r="A276" s="105" t="s">
        <v>155</v>
      </c>
      <c r="B276" s="106"/>
      <c r="C276" s="107" t="s">
        <v>156</v>
      </c>
      <c r="D276" s="108">
        <f t="shared" ref="D276" si="51">D277+D282+D285</f>
        <v>0</v>
      </c>
    </row>
    <row r="277" spans="1:4" ht="12" hidden="1" customHeight="1" outlineLevel="1" x14ac:dyDescent="0.25">
      <c r="A277" s="76"/>
      <c r="B277" s="77"/>
      <c r="C277" s="78" t="s">
        <v>319</v>
      </c>
      <c r="D277" s="79">
        <f t="shared" ref="D277" si="52">D278+D279+D280+D281+D283+D284</f>
        <v>0</v>
      </c>
    </row>
    <row r="278" spans="1:4" ht="12" hidden="1" customHeight="1" outlineLevel="1" x14ac:dyDescent="0.25">
      <c r="A278" s="76"/>
      <c r="B278" s="80">
        <v>1000</v>
      </c>
      <c r="C278" s="81" t="s">
        <v>102</v>
      </c>
      <c r="D278" s="82"/>
    </row>
    <row r="279" spans="1:4" ht="12" hidden="1" customHeight="1" outlineLevel="1" x14ac:dyDescent="0.25">
      <c r="A279" s="83"/>
      <c r="B279" s="84">
        <v>2000</v>
      </c>
      <c r="C279" s="85" t="s">
        <v>104</v>
      </c>
      <c r="D279" s="86"/>
    </row>
    <row r="280" spans="1:4" ht="12" hidden="1" customHeight="1" outlineLevel="1" x14ac:dyDescent="0.25">
      <c r="A280" s="83"/>
      <c r="B280" s="48">
        <v>3000</v>
      </c>
      <c r="C280" s="87" t="s">
        <v>106</v>
      </c>
      <c r="D280" s="86"/>
    </row>
    <row r="281" spans="1:4" ht="12" hidden="1" customHeight="1" outlineLevel="1" x14ac:dyDescent="0.25">
      <c r="A281" s="83"/>
      <c r="B281" s="48">
        <v>4000</v>
      </c>
      <c r="C281" s="88" t="s">
        <v>108</v>
      </c>
      <c r="D281" s="86"/>
    </row>
    <row r="282" spans="1:4" ht="12" hidden="1" customHeight="1" outlineLevel="1" x14ac:dyDescent="0.25">
      <c r="A282" s="83"/>
      <c r="B282" s="48">
        <v>5000</v>
      </c>
      <c r="C282" s="49" t="s">
        <v>110</v>
      </c>
      <c r="D282" s="89"/>
    </row>
    <row r="283" spans="1:4" ht="12" hidden="1" customHeight="1" outlineLevel="1" x14ac:dyDescent="0.25">
      <c r="A283" s="83"/>
      <c r="B283" s="48">
        <v>6000</v>
      </c>
      <c r="C283" s="49" t="s">
        <v>320</v>
      </c>
      <c r="D283" s="86"/>
    </row>
    <row r="284" spans="1:4" ht="12" hidden="1" customHeight="1" outlineLevel="1" x14ac:dyDescent="0.25">
      <c r="A284" s="83"/>
      <c r="B284" s="48">
        <v>7000</v>
      </c>
      <c r="C284" s="49" t="s">
        <v>321</v>
      </c>
      <c r="D284" s="86"/>
    </row>
    <row r="285" spans="1:4" ht="12" hidden="1" customHeight="1" outlineLevel="1" x14ac:dyDescent="0.25">
      <c r="A285" s="83"/>
      <c r="B285" s="90">
        <v>8000</v>
      </c>
      <c r="C285" s="91" t="s">
        <v>116</v>
      </c>
      <c r="D285" s="89"/>
    </row>
    <row r="286" spans="1:4" ht="12" hidden="1" customHeight="1" outlineLevel="1" x14ac:dyDescent="0.25">
      <c r="A286" s="105" t="s">
        <v>157</v>
      </c>
      <c r="B286" s="106"/>
      <c r="C286" s="107" t="s">
        <v>158</v>
      </c>
      <c r="D286" s="108">
        <f t="shared" ref="D286" si="53">D287+D292+D295</f>
        <v>0</v>
      </c>
    </row>
    <row r="287" spans="1:4" ht="12" hidden="1" customHeight="1" outlineLevel="1" x14ac:dyDescent="0.25">
      <c r="A287" s="76"/>
      <c r="B287" s="77"/>
      <c r="C287" s="78" t="s">
        <v>319</v>
      </c>
      <c r="D287" s="79">
        <f t="shared" ref="D287" si="54">D288+D289+D290+D291+D293+D294</f>
        <v>0</v>
      </c>
    </row>
    <row r="288" spans="1:4" ht="12" hidden="1" customHeight="1" outlineLevel="1" x14ac:dyDescent="0.25">
      <c r="A288" s="76"/>
      <c r="B288" s="80">
        <v>1000</v>
      </c>
      <c r="C288" s="81" t="s">
        <v>102</v>
      </c>
      <c r="D288" s="82"/>
    </row>
    <row r="289" spans="1:4" ht="12" hidden="1" customHeight="1" outlineLevel="1" x14ac:dyDescent="0.25">
      <c r="A289" s="83"/>
      <c r="B289" s="84">
        <v>2000</v>
      </c>
      <c r="C289" s="85" t="s">
        <v>104</v>
      </c>
      <c r="D289" s="86"/>
    </row>
    <row r="290" spans="1:4" ht="12" hidden="1" customHeight="1" outlineLevel="1" x14ac:dyDescent="0.25">
      <c r="A290" s="83"/>
      <c r="B290" s="48">
        <v>3000</v>
      </c>
      <c r="C290" s="87" t="s">
        <v>106</v>
      </c>
      <c r="D290" s="86"/>
    </row>
    <row r="291" spans="1:4" ht="12" hidden="1" customHeight="1" outlineLevel="1" x14ac:dyDescent="0.25">
      <c r="A291" s="83"/>
      <c r="B291" s="48">
        <v>4000</v>
      </c>
      <c r="C291" s="88" t="s">
        <v>108</v>
      </c>
      <c r="D291" s="86"/>
    </row>
    <row r="292" spans="1:4" ht="12" hidden="1" customHeight="1" outlineLevel="1" x14ac:dyDescent="0.25">
      <c r="A292" s="83"/>
      <c r="B292" s="48">
        <v>5000</v>
      </c>
      <c r="C292" s="49" t="s">
        <v>110</v>
      </c>
      <c r="D292" s="89"/>
    </row>
    <row r="293" spans="1:4" ht="12" hidden="1" customHeight="1" outlineLevel="1" x14ac:dyDescent="0.25">
      <c r="A293" s="83"/>
      <c r="B293" s="48">
        <v>6000</v>
      </c>
      <c r="C293" s="49" t="s">
        <v>320</v>
      </c>
      <c r="D293" s="86"/>
    </row>
    <row r="294" spans="1:4" ht="12" hidden="1" customHeight="1" outlineLevel="1" x14ac:dyDescent="0.25">
      <c r="A294" s="83"/>
      <c r="B294" s="48">
        <v>7000</v>
      </c>
      <c r="C294" s="49" t="s">
        <v>321</v>
      </c>
      <c r="D294" s="86"/>
    </row>
    <row r="295" spans="1:4" ht="12" hidden="1" customHeight="1" outlineLevel="1" x14ac:dyDescent="0.25">
      <c r="A295" s="83"/>
      <c r="B295" s="90">
        <v>8000</v>
      </c>
      <c r="C295" s="91" t="s">
        <v>116</v>
      </c>
      <c r="D295" s="89"/>
    </row>
    <row r="296" spans="1:4" ht="15.75" hidden="1" customHeight="1" outlineLevel="1" x14ac:dyDescent="0.25">
      <c r="A296" s="92" t="s">
        <v>159</v>
      </c>
      <c r="B296" s="93"/>
      <c r="C296" s="94" t="s">
        <v>338</v>
      </c>
      <c r="D296" s="95">
        <f t="shared" ref="D296" si="55">D297+D302+D305</f>
        <v>0</v>
      </c>
    </row>
    <row r="297" spans="1:4" ht="12" hidden="1" customHeight="1" outlineLevel="1" x14ac:dyDescent="0.25">
      <c r="A297" s="76"/>
      <c r="B297" s="77"/>
      <c r="C297" s="78" t="s">
        <v>319</v>
      </c>
      <c r="D297" s="79">
        <f t="shared" ref="D297" si="56">D298+D299+D300+D301+D303+D304</f>
        <v>0</v>
      </c>
    </row>
    <row r="298" spans="1:4" ht="12" hidden="1" customHeight="1" outlineLevel="1" x14ac:dyDescent="0.25">
      <c r="A298" s="76"/>
      <c r="B298" s="80">
        <v>1000</v>
      </c>
      <c r="C298" s="81" t="s">
        <v>102</v>
      </c>
      <c r="D298" s="82"/>
    </row>
    <row r="299" spans="1:4" ht="12" hidden="1" customHeight="1" outlineLevel="1" x14ac:dyDescent="0.25">
      <c r="A299" s="83"/>
      <c r="B299" s="84">
        <v>2000</v>
      </c>
      <c r="C299" s="85" t="s">
        <v>104</v>
      </c>
      <c r="D299" s="86"/>
    </row>
    <row r="300" spans="1:4" ht="12" hidden="1" customHeight="1" outlineLevel="1" x14ac:dyDescent="0.25">
      <c r="A300" s="83"/>
      <c r="B300" s="48">
        <v>3000</v>
      </c>
      <c r="C300" s="87" t="s">
        <v>106</v>
      </c>
      <c r="D300" s="86"/>
    </row>
    <row r="301" spans="1:4" ht="12" hidden="1" customHeight="1" outlineLevel="1" x14ac:dyDescent="0.25">
      <c r="A301" s="83"/>
      <c r="B301" s="48">
        <v>4000</v>
      </c>
      <c r="C301" s="88" t="s">
        <v>108</v>
      </c>
      <c r="D301" s="86"/>
    </row>
    <row r="302" spans="1:4" ht="12" hidden="1" customHeight="1" outlineLevel="1" x14ac:dyDescent="0.25">
      <c r="A302" s="83"/>
      <c r="B302" s="48">
        <v>5000</v>
      </c>
      <c r="C302" s="49" t="s">
        <v>110</v>
      </c>
      <c r="D302" s="89"/>
    </row>
    <row r="303" spans="1:4" ht="12" hidden="1" customHeight="1" outlineLevel="1" x14ac:dyDescent="0.25">
      <c r="A303" s="83"/>
      <c r="B303" s="48">
        <v>6000</v>
      </c>
      <c r="C303" s="49" t="s">
        <v>320</v>
      </c>
      <c r="D303" s="86"/>
    </row>
    <row r="304" spans="1:4" ht="12" hidden="1" customHeight="1" outlineLevel="1" x14ac:dyDescent="0.25">
      <c r="A304" s="83"/>
      <c r="B304" s="48">
        <v>7000</v>
      </c>
      <c r="C304" s="49" t="s">
        <v>321</v>
      </c>
      <c r="D304" s="86"/>
    </row>
    <row r="305" spans="1:4" ht="12" hidden="1" customHeight="1" outlineLevel="1" x14ac:dyDescent="0.25">
      <c r="A305" s="83"/>
      <c r="B305" s="90">
        <v>8000</v>
      </c>
      <c r="C305" s="91" t="s">
        <v>116</v>
      </c>
      <c r="D305" s="89"/>
    </row>
    <row r="306" spans="1:4" ht="17.100000000000001" hidden="1" customHeight="1" outlineLevel="1" x14ac:dyDescent="0.25">
      <c r="A306" s="72" t="s">
        <v>161</v>
      </c>
      <c r="B306" s="109"/>
      <c r="C306" s="74" t="s">
        <v>162</v>
      </c>
      <c r="D306" s="75">
        <f t="shared" ref="D306" si="57">D307+D312+D315</f>
        <v>0</v>
      </c>
    </row>
    <row r="307" spans="1:4" ht="12" hidden="1" customHeight="1" outlineLevel="1" x14ac:dyDescent="0.25">
      <c r="A307" s="76"/>
      <c r="B307" s="77"/>
      <c r="C307" s="78" t="s">
        <v>319</v>
      </c>
      <c r="D307" s="79">
        <f t="shared" ref="D307" si="58">D308+D309+D310+D311+D313+D314</f>
        <v>0</v>
      </c>
    </row>
    <row r="308" spans="1:4" ht="12" hidden="1" customHeight="1" outlineLevel="1" x14ac:dyDescent="0.25">
      <c r="A308" s="76"/>
      <c r="B308" s="80">
        <v>1000</v>
      </c>
      <c r="C308" s="81" t="s">
        <v>102</v>
      </c>
      <c r="D308" s="82">
        <f>D318+D328+D338+D348+D368+D358</f>
        <v>0</v>
      </c>
    </row>
    <row r="309" spans="1:4" ht="12" hidden="1" customHeight="1" outlineLevel="1" x14ac:dyDescent="0.25">
      <c r="A309" s="83"/>
      <c r="B309" s="84">
        <v>2000</v>
      </c>
      <c r="C309" s="85" t="s">
        <v>104</v>
      </c>
      <c r="D309" s="82">
        <f t="shared" ref="D309:D315" si="59">D319+D329+D339+D349+D369+D359</f>
        <v>0</v>
      </c>
    </row>
    <row r="310" spans="1:4" ht="12" hidden="1" customHeight="1" outlineLevel="1" x14ac:dyDescent="0.25">
      <c r="A310" s="83"/>
      <c r="B310" s="48">
        <v>3000</v>
      </c>
      <c r="C310" s="87" t="s">
        <v>106</v>
      </c>
      <c r="D310" s="82">
        <f t="shared" si="59"/>
        <v>0</v>
      </c>
    </row>
    <row r="311" spans="1:4" ht="12" hidden="1" customHeight="1" outlineLevel="1" x14ac:dyDescent="0.25">
      <c r="A311" s="83"/>
      <c r="B311" s="48">
        <v>4000</v>
      </c>
      <c r="C311" s="88" t="s">
        <v>108</v>
      </c>
      <c r="D311" s="82">
        <f t="shared" si="59"/>
        <v>0</v>
      </c>
    </row>
    <row r="312" spans="1:4" ht="12" hidden="1" customHeight="1" outlineLevel="1" x14ac:dyDescent="0.25">
      <c r="A312" s="83"/>
      <c r="B312" s="48">
        <v>5000</v>
      </c>
      <c r="C312" s="49" t="s">
        <v>110</v>
      </c>
      <c r="D312" s="79">
        <f t="shared" si="59"/>
        <v>0</v>
      </c>
    </row>
    <row r="313" spans="1:4" ht="12" hidden="1" customHeight="1" outlineLevel="1" x14ac:dyDescent="0.25">
      <c r="A313" s="83"/>
      <c r="B313" s="48">
        <v>6000</v>
      </c>
      <c r="C313" s="49" t="s">
        <v>320</v>
      </c>
      <c r="D313" s="82">
        <f t="shared" si="59"/>
        <v>0</v>
      </c>
    </row>
    <row r="314" spans="1:4" ht="12" hidden="1" customHeight="1" outlineLevel="1" x14ac:dyDescent="0.25">
      <c r="A314" s="83"/>
      <c r="B314" s="48">
        <v>7000</v>
      </c>
      <c r="C314" s="49" t="s">
        <v>321</v>
      </c>
      <c r="D314" s="82">
        <f t="shared" si="59"/>
        <v>0</v>
      </c>
    </row>
    <row r="315" spans="1:4" ht="12" hidden="1" customHeight="1" outlineLevel="1" x14ac:dyDescent="0.25">
      <c r="A315" s="83"/>
      <c r="B315" s="90">
        <v>8000</v>
      </c>
      <c r="C315" s="91" t="s">
        <v>116</v>
      </c>
      <c r="D315" s="79">
        <f t="shared" si="59"/>
        <v>0</v>
      </c>
    </row>
    <row r="316" spans="1:4" ht="12" hidden="1" customHeight="1" outlineLevel="1" x14ac:dyDescent="0.25">
      <c r="A316" s="92" t="s">
        <v>339</v>
      </c>
      <c r="B316" s="93"/>
      <c r="C316" s="94" t="s">
        <v>340</v>
      </c>
      <c r="D316" s="95">
        <f t="shared" ref="D316" si="60">D317+D322+D325</f>
        <v>0</v>
      </c>
    </row>
    <row r="317" spans="1:4" ht="12" hidden="1" customHeight="1" outlineLevel="1" x14ac:dyDescent="0.25">
      <c r="A317" s="83"/>
      <c r="B317" s="77"/>
      <c r="C317" s="78" t="s">
        <v>319</v>
      </c>
      <c r="D317" s="79">
        <f t="shared" ref="D317" si="61">D318+D319+D320+D321+D323+D324</f>
        <v>0</v>
      </c>
    </row>
    <row r="318" spans="1:4" ht="12" hidden="1" customHeight="1" outlineLevel="1" x14ac:dyDescent="0.25">
      <c r="A318" s="83"/>
      <c r="B318" s="80">
        <v>1000</v>
      </c>
      <c r="C318" s="81" t="s">
        <v>102</v>
      </c>
      <c r="D318" s="82"/>
    </row>
    <row r="319" spans="1:4" ht="12" hidden="1" customHeight="1" outlineLevel="1" x14ac:dyDescent="0.25">
      <c r="A319" s="83"/>
      <c r="B319" s="84">
        <v>2000</v>
      </c>
      <c r="C319" s="85" t="s">
        <v>104</v>
      </c>
      <c r="D319" s="86"/>
    </row>
    <row r="320" spans="1:4" ht="12" hidden="1" customHeight="1" outlineLevel="1" x14ac:dyDescent="0.25">
      <c r="A320" s="83"/>
      <c r="B320" s="48">
        <v>3000</v>
      </c>
      <c r="C320" s="87" t="s">
        <v>106</v>
      </c>
      <c r="D320" s="86"/>
    </row>
    <row r="321" spans="1:4" ht="12" hidden="1" customHeight="1" outlineLevel="1" x14ac:dyDescent="0.25">
      <c r="A321" s="83"/>
      <c r="B321" s="48">
        <v>4000</v>
      </c>
      <c r="C321" s="88" t="s">
        <v>108</v>
      </c>
      <c r="D321" s="86"/>
    </row>
    <row r="322" spans="1:4" ht="12" hidden="1" customHeight="1" outlineLevel="1" x14ac:dyDescent="0.25">
      <c r="A322" s="83"/>
      <c r="B322" s="48">
        <v>5000</v>
      </c>
      <c r="C322" s="49" t="s">
        <v>110</v>
      </c>
      <c r="D322" s="89"/>
    </row>
    <row r="323" spans="1:4" ht="12" hidden="1" customHeight="1" outlineLevel="1" x14ac:dyDescent="0.25">
      <c r="A323" s="83"/>
      <c r="B323" s="48">
        <v>6000</v>
      </c>
      <c r="C323" s="49" t="s">
        <v>320</v>
      </c>
      <c r="D323" s="86"/>
    </row>
    <row r="324" spans="1:4" ht="12" hidden="1" customHeight="1" outlineLevel="1" x14ac:dyDescent="0.25">
      <c r="A324" s="83"/>
      <c r="B324" s="48">
        <v>7000</v>
      </c>
      <c r="C324" s="49" t="s">
        <v>321</v>
      </c>
      <c r="D324" s="86"/>
    </row>
    <row r="325" spans="1:4" ht="12" hidden="1" customHeight="1" outlineLevel="1" x14ac:dyDescent="0.25">
      <c r="A325" s="83"/>
      <c r="B325" s="90">
        <v>8000</v>
      </c>
      <c r="C325" s="91" t="s">
        <v>116</v>
      </c>
      <c r="D325" s="89"/>
    </row>
    <row r="326" spans="1:4" ht="12" hidden="1" customHeight="1" outlineLevel="1" x14ac:dyDescent="0.25">
      <c r="A326" s="92" t="s">
        <v>163</v>
      </c>
      <c r="B326" s="93"/>
      <c r="C326" s="94" t="s">
        <v>341</v>
      </c>
      <c r="D326" s="95">
        <f t="shared" ref="D326" si="62">D327+D332+D335</f>
        <v>0</v>
      </c>
    </row>
    <row r="327" spans="1:4" ht="12" hidden="1" customHeight="1" outlineLevel="1" x14ac:dyDescent="0.25">
      <c r="A327" s="76"/>
      <c r="B327" s="77"/>
      <c r="C327" s="78" t="s">
        <v>319</v>
      </c>
      <c r="D327" s="79">
        <f t="shared" ref="D327" si="63">D328+D329+D330+D331+D333+D334</f>
        <v>0</v>
      </c>
    </row>
    <row r="328" spans="1:4" ht="12" hidden="1" customHeight="1" outlineLevel="1" x14ac:dyDescent="0.25">
      <c r="A328" s="76"/>
      <c r="B328" s="80">
        <v>1000</v>
      </c>
      <c r="C328" s="81" t="s">
        <v>102</v>
      </c>
      <c r="D328" s="82"/>
    </row>
    <row r="329" spans="1:4" ht="12" hidden="1" customHeight="1" outlineLevel="1" x14ac:dyDescent="0.25">
      <c r="A329" s="83"/>
      <c r="B329" s="84">
        <v>2000</v>
      </c>
      <c r="C329" s="85" t="s">
        <v>104</v>
      </c>
      <c r="D329" s="86"/>
    </row>
    <row r="330" spans="1:4" ht="12" hidden="1" customHeight="1" outlineLevel="1" x14ac:dyDescent="0.25">
      <c r="A330" s="83"/>
      <c r="B330" s="48">
        <v>3000</v>
      </c>
      <c r="C330" s="87" t="s">
        <v>106</v>
      </c>
      <c r="D330" s="86"/>
    </row>
    <row r="331" spans="1:4" ht="15" hidden="1" customHeight="1" outlineLevel="1" x14ac:dyDescent="0.25">
      <c r="A331" s="83"/>
      <c r="B331" s="48">
        <v>4000</v>
      </c>
      <c r="C331" s="88" t="s">
        <v>108</v>
      </c>
      <c r="D331" s="86"/>
    </row>
    <row r="332" spans="1:4" ht="12" hidden="1" customHeight="1" outlineLevel="1" x14ac:dyDescent="0.25">
      <c r="A332" s="83"/>
      <c r="B332" s="48">
        <v>5000</v>
      </c>
      <c r="C332" s="49" t="s">
        <v>110</v>
      </c>
      <c r="D332" s="89"/>
    </row>
    <row r="333" spans="1:4" ht="12" hidden="1" customHeight="1" outlineLevel="1" x14ac:dyDescent="0.25">
      <c r="A333" s="83"/>
      <c r="B333" s="48">
        <v>6000</v>
      </c>
      <c r="C333" s="49" t="s">
        <v>320</v>
      </c>
      <c r="D333" s="86"/>
    </row>
    <row r="334" spans="1:4" ht="12" hidden="1" customHeight="1" outlineLevel="1" x14ac:dyDescent="0.25">
      <c r="A334" s="83"/>
      <c r="B334" s="48">
        <v>7000</v>
      </c>
      <c r="C334" s="49" t="s">
        <v>321</v>
      </c>
      <c r="D334" s="86"/>
    </row>
    <row r="335" spans="1:4" ht="12" hidden="1" customHeight="1" outlineLevel="1" x14ac:dyDescent="0.25">
      <c r="A335" s="83"/>
      <c r="B335" s="90">
        <v>8000</v>
      </c>
      <c r="C335" s="91" t="s">
        <v>116</v>
      </c>
      <c r="D335" s="89"/>
    </row>
    <row r="336" spans="1:4" ht="12" hidden="1" customHeight="1" outlineLevel="1" x14ac:dyDescent="0.25">
      <c r="A336" s="92" t="s">
        <v>165</v>
      </c>
      <c r="B336" s="93"/>
      <c r="C336" s="94" t="s">
        <v>166</v>
      </c>
      <c r="D336" s="95">
        <f t="shared" ref="D336" si="64">D345+D342+D337</f>
        <v>0</v>
      </c>
    </row>
    <row r="337" spans="1:4" ht="12" hidden="1" customHeight="1" outlineLevel="1" x14ac:dyDescent="0.25">
      <c r="A337" s="83"/>
      <c r="B337" s="77"/>
      <c r="C337" s="78" t="s">
        <v>319</v>
      </c>
      <c r="D337" s="79">
        <f t="shared" ref="D337" si="65">D338+D339+D340+D341+D343+D344</f>
        <v>0</v>
      </c>
    </row>
    <row r="338" spans="1:4" ht="12" hidden="1" customHeight="1" outlineLevel="1" x14ac:dyDescent="0.25">
      <c r="A338" s="83"/>
      <c r="B338" s="80">
        <v>1000</v>
      </c>
      <c r="C338" s="81" t="s">
        <v>102</v>
      </c>
      <c r="D338" s="82"/>
    </row>
    <row r="339" spans="1:4" ht="12" hidden="1" customHeight="1" outlineLevel="1" x14ac:dyDescent="0.25">
      <c r="A339" s="83"/>
      <c r="B339" s="84">
        <v>2000</v>
      </c>
      <c r="C339" s="85" t="s">
        <v>104</v>
      </c>
      <c r="D339" s="86"/>
    </row>
    <row r="340" spans="1:4" ht="12" hidden="1" customHeight="1" outlineLevel="1" x14ac:dyDescent="0.25">
      <c r="A340" s="83"/>
      <c r="B340" s="48">
        <v>3000</v>
      </c>
      <c r="C340" s="87" t="s">
        <v>106</v>
      </c>
      <c r="D340" s="86"/>
    </row>
    <row r="341" spans="1:4" ht="12" hidden="1" customHeight="1" outlineLevel="1" x14ac:dyDescent="0.25">
      <c r="A341" s="83"/>
      <c r="B341" s="48">
        <v>4000</v>
      </c>
      <c r="C341" s="88" t="s">
        <v>108</v>
      </c>
      <c r="D341" s="86"/>
    </row>
    <row r="342" spans="1:4" ht="12" hidden="1" customHeight="1" outlineLevel="1" x14ac:dyDescent="0.25">
      <c r="A342" s="83"/>
      <c r="B342" s="48">
        <v>5000</v>
      </c>
      <c r="C342" s="49" t="s">
        <v>110</v>
      </c>
      <c r="D342" s="89"/>
    </row>
    <row r="343" spans="1:4" ht="12" hidden="1" customHeight="1" outlineLevel="1" x14ac:dyDescent="0.25">
      <c r="A343" s="83"/>
      <c r="B343" s="48">
        <v>6000</v>
      </c>
      <c r="C343" s="49" t="s">
        <v>320</v>
      </c>
      <c r="D343" s="86"/>
    </row>
    <row r="344" spans="1:4" ht="12" hidden="1" customHeight="1" outlineLevel="1" x14ac:dyDescent="0.25">
      <c r="A344" s="83"/>
      <c r="B344" s="48">
        <v>7000</v>
      </c>
      <c r="C344" s="49" t="s">
        <v>321</v>
      </c>
      <c r="D344" s="86"/>
    </row>
    <row r="345" spans="1:4" ht="12" hidden="1" customHeight="1" outlineLevel="1" x14ac:dyDescent="0.25">
      <c r="A345" s="83"/>
      <c r="B345" s="90">
        <v>8000</v>
      </c>
      <c r="C345" s="91" t="s">
        <v>116</v>
      </c>
      <c r="D345" s="89"/>
    </row>
    <row r="346" spans="1:4" ht="12" hidden="1" customHeight="1" outlineLevel="1" x14ac:dyDescent="0.25">
      <c r="A346" s="92" t="s">
        <v>167</v>
      </c>
      <c r="B346" s="93"/>
      <c r="C346" s="94" t="s">
        <v>342</v>
      </c>
      <c r="D346" s="95">
        <f t="shared" ref="D346" si="66">D347+D352+D355</f>
        <v>0</v>
      </c>
    </row>
    <row r="347" spans="1:4" ht="12" hidden="1" customHeight="1" outlineLevel="1" x14ac:dyDescent="0.25">
      <c r="A347" s="76"/>
      <c r="B347" s="77"/>
      <c r="C347" s="78" t="s">
        <v>319</v>
      </c>
      <c r="D347" s="79">
        <f t="shared" ref="D347" si="67">D348+D349+D350+D351+D353+D354</f>
        <v>0</v>
      </c>
    </row>
    <row r="348" spans="1:4" ht="12" hidden="1" customHeight="1" outlineLevel="1" x14ac:dyDescent="0.25">
      <c r="A348" s="76"/>
      <c r="B348" s="80">
        <v>1000</v>
      </c>
      <c r="C348" s="81" t="s">
        <v>102</v>
      </c>
      <c r="D348" s="82"/>
    </row>
    <row r="349" spans="1:4" ht="12" hidden="1" customHeight="1" outlineLevel="1" x14ac:dyDescent="0.25">
      <c r="A349" s="83"/>
      <c r="B349" s="84">
        <v>2000</v>
      </c>
      <c r="C349" s="85" t="s">
        <v>104</v>
      </c>
      <c r="D349" s="86"/>
    </row>
    <row r="350" spans="1:4" ht="12" hidden="1" customHeight="1" outlineLevel="1" x14ac:dyDescent="0.25">
      <c r="A350" s="83"/>
      <c r="B350" s="48">
        <v>3000</v>
      </c>
      <c r="C350" s="87" t="s">
        <v>106</v>
      </c>
      <c r="D350" s="86"/>
    </row>
    <row r="351" spans="1:4" ht="12" hidden="1" customHeight="1" outlineLevel="1" x14ac:dyDescent="0.25">
      <c r="A351" s="83"/>
      <c r="B351" s="48">
        <v>4000</v>
      </c>
      <c r="C351" s="88" t="s">
        <v>108</v>
      </c>
      <c r="D351" s="86"/>
    </row>
    <row r="352" spans="1:4" ht="12" hidden="1" customHeight="1" outlineLevel="1" x14ac:dyDescent="0.25">
      <c r="A352" s="83"/>
      <c r="B352" s="48">
        <v>5000</v>
      </c>
      <c r="C352" s="49" t="s">
        <v>110</v>
      </c>
      <c r="D352" s="89"/>
    </row>
    <row r="353" spans="1:4" ht="12" hidden="1" customHeight="1" outlineLevel="1" x14ac:dyDescent="0.25">
      <c r="A353" s="83"/>
      <c r="B353" s="48">
        <v>6000</v>
      </c>
      <c r="C353" s="49" t="s">
        <v>320</v>
      </c>
      <c r="D353" s="86"/>
    </row>
    <row r="354" spans="1:4" ht="12" hidden="1" customHeight="1" outlineLevel="1" x14ac:dyDescent="0.25">
      <c r="A354" s="83"/>
      <c r="B354" s="48">
        <v>7000</v>
      </c>
      <c r="C354" s="49" t="s">
        <v>321</v>
      </c>
      <c r="D354" s="86"/>
    </row>
    <row r="355" spans="1:4" ht="12" hidden="1" customHeight="1" outlineLevel="1" x14ac:dyDescent="0.25">
      <c r="A355" s="83"/>
      <c r="B355" s="90">
        <v>8000</v>
      </c>
      <c r="C355" s="91" t="s">
        <v>116</v>
      </c>
      <c r="D355" s="89"/>
    </row>
    <row r="356" spans="1:4" ht="12" hidden="1" customHeight="1" outlineLevel="1" x14ac:dyDescent="0.25">
      <c r="A356" s="92" t="s">
        <v>343</v>
      </c>
      <c r="B356" s="93"/>
      <c r="C356" s="94" t="s">
        <v>344</v>
      </c>
      <c r="D356" s="95">
        <f t="shared" ref="D356" si="68">D357+D362+D365</f>
        <v>0</v>
      </c>
    </row>
    <row r="357" spans="1:4" ht="12" hidden="1" customHeight="1" outlineLevel="1" x14ac:dyDescent="0.25">
      <c r="A357" s="76"/>
      <c r="B357" s="77"/>
      <c r="C357" s="78" t="s">
        <v>319</v>
      </c>
      <c r="D357" s="79">
        <f t="shared" ref="D357" si="69">D358+D359+D360+D361+D363+D364</f>
        <v>0</v>
      </c>
    </row>
    <row r="358" spans="1:4" ht="12" hidden="1" customHeight="1" outlineLevel="1" x14ac:dyDescent="0.25">
      <c r="A358" s="76"/>
      <c r="B358" s="80">
        <v>1000</v>
      </c>
      <c r="C358" s="81" t="s">
        <v>102</v>
      </c>
      <c r="D358" s="82"/>
    </row>
    <row r="359" spans="1:4" ht="12" hidden="1" customHeight="1" outlineLevel="1" x14ac:dyDescent="0.25">
      <c r="A359" s="83"/>
      <c r="B359" s="84">
        <v>2000</v>
      </c>
      <c r="C359" s="85" t="s">
        <v>104</v>
      </c>
      <c r="D359" s="86"/>
    </row>
    <row r="360" spans="1:4" ht="12" hidden="1" customHeight="1" outlineLevel="1" x14ac:dyDescent="0.25">
      <c r="A360" s="83"/>
      <c r="B360" s="48">
        <v>3000</v>
      </c>
      <c r="C360" s="87" t="s">
        <v>106</v>
      </c>
      <c r="D360" s="86"/>
    </row>
    <row r="361" spans="1:4" ht="12" hidden="1" customHeight="1" outlineLevel="1" x14ac:dyDescent="0.25">
      <c r="A361" s="83"/>
      <c r="B361" s="48">
        <v>4000</v>
      </c>
      <c r="C361" s="88" t="s">
        <v>108</v>
      </c>
      <c r="D361" s="86"/>
    </row>
    <row r="362" spans="1:4" ht="12" hidden="1" customHeight="1" outlineLevel="1" x14ac:dyDescent="0.25">
      <c r="A362" s="83"/>
      <c r="B362" s="48">
        <v>5000</v>
      </c>
      <c r="C362" s="49" t="s">
        <v>110</v>
      </c>
      <c r="D362" s="89"/>
    </row>
    <row r="363" spans="1:4" ht="12" hidden="1" customHeight="1" outlineLevel="1" x14ac:dyDescent="0.25">
      <c r="A363" s="83"/>
      <c r="B363" s="48">
        <v>6000</v>
      </c>
      <c r="C363" s="49" t="s">
        <v>320</v>
      </c>
      <c r="D363" s="86"/>
    </row>
    <row r="364" spans="1:4" ht="12" hidden="1" customHeight="1" outlineLevel="1" x14ac:dyDescent="0.25">
      <c r="A364" s="83"/>
      <c r="B364" s="48">
        <v>7000</v>
      </c>
      <c r="C364" s="49" t="s">
        <v>321</v>
      </c>
      <c r="D364" s="86"/>
    </row>
    <row r="365" spans="1:4" ht="12" hidden="1" customHeight="1" outlineLevel="1" x14ac:dyDescent="0.25">
      <c r="A365" s="83"/>
      <c r="B365" s="90">
        <v>8000</v>
      </c>
      <c r="C365" s="91" t="s">
        <v>116</v>
      </c>
      <c r="D365" s="89"/>
    </row>
    <row r="366" spans="1:4" ht="12" hidden="1" customHeight="1" outlineLevel="1" x14ac:dyDescent="0.25">
      <c r="A366" s="92" t="s">
        <v>169</v>
      </c>
      <c r="B366" s="93"/>
      <c r="C366" s="94" t="s">
        <v>345</v>
      </c>
      <c r="D366" s="95">
        <f t="shared" ref="D366" si="70">D367+D372+D375</f>
        <v>0</v>
      </c>
    </row>
    <row r="367" spans="1:4" ht="12" hidden="1" customHeight="1" outlineLevel="1" x14ac:dyDescent="0.25">
      <c r="A367" s="76"/>
      <c r="B367" s="77"/>
      <c r="C367" s="78" t="s">
        <v>319</v>
      </c>
      <c r="D367" s="79">
        <f t="shared" ref="D367" si="71">D368+D369+D370+D371+D373+D374</f>
        <v>0</v>
      </c>
    </row>
    <row r="368" spans="1:4" ht="12" hidden="1" customHeight="1" outlineLevel="1" x14ac:dyDescent="0.25">
      <c r="A368" s="76"/>
      <c r="B368" s="80">
        <v>1000</v>
      </c>
      <c r="C368" s="81" t="s">
        <v>102</v>
      </c>
      <c r="D368" s="82"/>
    </row>
    <row r="369" spans="1:4" ht="12" hidden="1" customHeight="1" outlineLevel="1" x14ac:dyDescent="0.25">
      <c r="A369" s="83"/>
      <c r="B369" s="84">
        <v>2000</v>
      </c>
      <c r="C369" s="85" t="s">
        <v>104</v>
      </c>
      <c r="D369" s="86"/>
    </row>
    <row r="370" spans="1:4" ht="12" hidden="1" customHeight="1" outlineLevel="1" x14ac:dyDescent="0.25">
      <c r="A370" s="83"/>
      <c r="B370" s="48">
        <v>3000</v>
      </c>
      <c r="C370" s="87" t="s">
        <v>106</v>
      </c>
      <c r="D370" s="86"/>
    </row>
    <row r="371" spans="1:4" ht="12" hidden="1" customHeight="1" outlineLevel="1" x14ac:dyDescent="0.25">
      <c r="A371" s="83"/>
      <c r="B371" s="48">
        <v>4000</v>
      </c>
      <c r="C371" s="88" t="s">
        <v>108</v>
      </c>
      <c r="D371" s="86"/>
    </row>
    <row r="372" spans="1:4" ht="12" hidden="1" customHeight="1" outlineLevel="1" x14ac:dyDescent="0.25">
      <c r="A372" s="83"/>
      <c r="B372" s="48">
        <v>5000</v>
      </c>
      <c r="C372" s="49" t="s">
        <v>110</v>
      </c>
      <c r="D372" s="89"/>
    </row>
    <row r="373" spans="1:4" ht="12" hidden="1" customHeight="1" outlineLevel="1" x14ac:dyDescent="0.25">
      <c r="A373" s="83"/>
      <c r="B373" s="48">
        <v>6000</v>
      </c>
      <c r="C373" s="49" t="s">
        <v>320</v>
      </c>
      <c r="D373" s="86"/>
    </row>
    <row r="374" spans="1:4" ht="12" hidden="1" customHeight="1" outlineLevel="1" x14ac:dyDescent="0.25">
      <c r="A374" s="83"/>
      <c r="B374" s="48">
        <v>7000</v>
      </c>
      <c r="C374" s="49" t="s">
        <v>321</v>
      </c>
      <c r="D374" s="86"/>
    </row>
    <row r="375" spans="1:4" ht="12" hidden="1" customHeight="1" outlineLevel="1" x14ac:dyDescent="0.25">
      <c r="A375" s="83"/>
      <c r="B375" s="90">
        <v>8000</v>
      </c>
      <c r="C375" s="91" t="s">
        <v>116</v>
      </c>
      <c r="D375" s="89"/>
    </row>
    <row r="376" spans="1:4" ht="17.100000000000001" customHeight="1" collapsed="1" x14ac:dyDescent="0.25">
      <c r="A376" s="110" t="s">
        <v>171</v>
      </c>
      <c r="B376" s="111"/>
      <c r="C376" s="112" t="s">
        <v>346</v>
      </c>
      <c r="D376" s="75">
        <f t="shared" ref="D376" si="72">D377+D382+D385</f>
        <v>12153</v>
      </c>
    </row>
    <row r="377" spans="1:4" ht="12" customHeight="1" x14ac:dyDescent="0.25">
      <c r="A377" s="76"/>
      <c r="B377" s="77"/>
      <c r="C377" s="78" t="s">
        <v>319</v>
      </c>
      <c r="D377" s="79">
        <f t="shared" ref="D377" si="73">D378+D379+D380+D381+D383+D384</f>
        <v>6490</v>
      </c>
    </row>
    <row r="378" spans="1:4" ht="12" hidden="1" customHeight="1" outlineLevel="1" x14ac:dyDescent="0.25">
      <c r="A378" s="76"/>
      <c r="B378" s="80">
        <v>1000</v>
      </c>
      <c r="C378" s="81" t="s">
        <v>102</v>
      </c>
      <c r="D378" s="82">
        <f t="shared" ref="D378:D385" si="74">D388+D398+D408+D418+D428</f>
        <v>0</v>
      </c>
    </row>
    <row r="379" spans="1:4" ht="12" customHeight="1" collapsed="1" x14ac:dyDescent="0.25">
      <c r="A379" s="83"/>
      <c r="B379" s="84">
        <v>2000</v>
      </c>
      <c r="C379" s="85" t="s">
        <v>104</v>
      </c>
      <c r="D379" s="86">
        <f t="shared" si="74"/>
        <v>6490</v>
      </c>
    </row>
    <row r="380" spans="1:4" ht="12" hidden="1" customHeight="1" outlineLevel="1" x14ac:dyDescent="0.25">
      <c r="A380" s="83"/>
      <c r="B380" s="48">
        <v>3000</v>
      </c>
      <c r="C380" s="87" t="s">
        <v>106</v>
      </c>
      <c r="D380" s="86">
        <f t="shared" si="74"/>
        <v>0</v>
      </c>
    </row>
    <row r="381" spans="1:4" ht="12" hidden="1" customHeight="1" outlineLevel="1" x14ac:dyDescent="0.25">
      <c r="A381" s="83"/>
      <c r="B381" s="48">
        <v>4000</v>
      </c>
      <c r="C381" s="88" t="s">
        <v>108</v>
      </c>
      <c r="D381" s="86">
        <f t="shared" si="74"/>
        <v>0</v>
      </c>
    </row>
    <row r="382" spans="1:4" ht="12" customHeight="1" collapsed="1" x14ac:dyDescent="0.25">
      <c r="A382" s="83"/>
      <c r="B382" s="48">
        <v>5000</v>
      </c>
      <c r="C382" s="49" t="s">
        <v>110</v>
      </c>
      <c r="D382" s="89">
        <f t="shared" si="74"/>
        <v>5663</v>
      </c>
    </row>
    <row r="383" spans="1:4" ht="12" hidden="1" customHeight="1" outlineLevel="1" x14ac:dyDescent="0.25">
      <c r="A383" s="83"/>
      <c r="B383" s="48">
        <v>6000</v>
      </c>
      <c r="C383" s="49" t="s">
        <v>320</v>
      </c>
      <c r="D383" s="86">
        <f t="shared" si="74"/>
        <v>0</v>
      </c>
    </row>
    <row r="384" spans="1:4" ht="12" hidden="1" customHeight="1" outlineLevel="1" x14ac:dyDescent="0.25">
      <c r="A384" s="83"/>
      <c r="B384" s="48">
        <v>7000</v>
      </c>
      <c r="C384" s="49" t="s">
        <v>321</v>
      </c>
      <c r="D384" s="86">
        <f t="shared" si="74"/>
        <v>0</v>
      </c>
    </row>
    <row r="385" spans="1:4" ht="12" hidden="1" customHeight="1" outlineLevel="1" x14ac:dyDescent="0.25">
      <c r="A385" s="83"/>
      <c r="B385" s="90">
        <v>8000</v>
      </c>
      <c r="C385" s="91" t="s">
        <v>116</v>
      </c>
      <c r="D385" s="89">
        <f t="shared" si="74"/>
        <v>0</v>
      </c>
    </row>
    <row r="386" spans="1:4" ht="12" hidden="1" customHeight="1" outlineLevel="1" x14ac:dyDescent="0.25">
      <c r="A386" s="92" t="s">
        <v>173</v>
      </c>
      <c r="B386" s="93"/>
      <c r="C386" s="94" t="s">
        <v>347</v>
      </c>
      <c r="D386" s="95">
        <f t="shared" ref="D386" si="75">D387+D392+D395</f>
        <v>0</v>
      </c>
    </row>
    <row r="387" spans="1:4" ht="12" hidden="1" customHeight="1" outlineLevel="1" x14ac:dyDescent="0.25">
      <c r="A387" s="76"/>
      <c r="B387" s="77"/>
      <c r="C387" s="78" t="s">
        <v>319</v>
      </c>
      <c r="D387" s="79">
        <f t="shared" ref="D387" si="76">D388+D389+D390+D391+D393+D394</f>
        <v>0</v>
      </c>
    </row>
    <row r="388" spans="1:4" ht="12" hidden="1" customHeight="1" outlineLevel="1" x14ac:dyDescent="0.25">
      <c r="A388" s="76"/>
      <c r="B388" s="80">
        <v>1000</v>
      </c>
      <c r="C388" s="81" t="s">
        <v>102</v>
      </c>
      <c r="D388" s="82"/>
    </row>
    <row r="389" spans="1:4" ht="12" hidden="1" customHeight="1" outlineLevel="1" x14ac:dyDescent="0.25">
      <c r="A389" s="83"/>
      <c r="B389" s="84">
        <v>2000</v>
      </c>
      <c r="C389" s="85" t="s">
        <v>104</v>
      </c>
      <c r="D389" s="86"/>
    </row>
    <row r="390" spans="1:4" ht="12" hidden="1" customHeight="1" outlineLevel="1" x14ac:dyDescent="0.25">
      <c r="A390" s="83"/>
      <c r="B390" s="48">
        <v>3000</v>
      </c>
      <c r="C390" s="87" t="s">
        <v>106</v>
      </c>
      <c r="D390" s="86"/>
    </row>
    <row r="391" spans="1:4" ht="12" hidden="1" customHeight="1" outlineLevel="1" x14ac:dyDescent="0.25">
      <c r="A391" s="83"/>
      <c r="B391" s="48">
        <v>4000</v>
      </c>
      <c r="C391" s="88" t="s">
        <v>108</v>
      </c>
      <c r="D391" s="86"/>
    </row>
    <row r="392" spans="1:4" ht="12" hidden="1" customHeight="1" outlineLevel="1" x14ac:dyDescent="0.25">
      <c r="A392" s="83"/>
      <c r="B392" s="48">
        <v>5000</v>
      </c>
      <c r="C392" s="49" t="s">
        <v>110</v>
      </c>
      <c r="D392" s="89"/>
    </row>
    <row r="393" spans="1:4" ht="12" hidden="1" customHeight="1" outlineLevel="1" x14ac:dyDescent="0.25">
      <c r="A393" s="83"/>
      <c r="B393" s="48">
        <v>6000</v>
      </c>
      <c r="C393" s="49" t="s">
        <v>320</v>
      </c>
      <c r="D393" s="86"/>
    </row>
    <row r="394" spans="1:4" ht="12" hidden="1" customHeight="1" outlineLevel="1" x14ac:dyDescent="0.25">
      <c r="A394" s="83"/>
      <c r="B394" s="48">
        <v>7000</v>
      </c>
      <c r="C394" s="49" t="s">
        <v>321</v>
      </c>
      <c r="D394" s="86"/>
    </row>
    <row r="395" spans="1:4" ht="12" hidden="1" customHeight="1" outlineLevel="1" x14ac:dyDescent="0.25">
      <c r="A395" s="83"/>
      <c r="B395" s="90">
        <v>8000</v>
      </c>
      <c r="C395" s="91" t="s">
        <v>116</v>
      </c>
      <c r="D395" s="89"/>
    </row>
    <row r="396" spans="1:4" ht="12" hidden="1" customHeight="1" outlineLevel="1" x14ac:dyDescent="0.25">
      <c r="A396" s="92" t="s">
        <v>175</v>
      </c>
      <c r="B396" s="93"/>
      <c r="C396" s="94" t="s">
        <v>348</v>
      </c>
      <c r="D396" s="95">
        <f t="shared" ref="D396" si="77">D397+D402+D405</f>
        <v>0</v>
      </c>
    </row>
    <row r="397" spans="1:4" ht="12" hidden="1" customHeight="1" outlineLevel="1" x14ac:dyDescent="0.25">
      <c r="A397" s="76"/>
      <c r="B397" s="77"/>
      <c r="C397" s="78" t="s">
        <v>319</v>
      </c>
      <c r="D397" s="79">
        <f t="shared" ref="D397" si="78">D398+D399+D400+D401+D403+D404</f>
        <v>0</v>
      </c>
    </row>
    <row r="398" spans="1:4" ht="12" hidden="1" customHeight="1" outlineLevel="1" x14ac:dyDescent="0.25">
      <c r="A398" s="76"/>
      <c r="B398" s="80">
        <v>1000</v>
      </c>
      <c r="C398" s="81" t="s">
        <v>102</v>
      </c>
      <c r="D398" s="82"/>
    </row>
    <row r="399" spans="1:4" ht="12" hidden="1" customHeight="1" outlineLevel="1" x14ac:dyDescent="0.25">
      <c r="A399" s="83"/>
      <c r="B399" s="84">
        <v>2000</v>
      </c>
      <c r="C399" s="85" t="s">
        <v>104</v>
      </c>
      <c r="D399" s="86"/>
    </row>
    <row r="400" spans="1:4" ht="12" hidden="1" customHeight="1" outlineLevel="1" x14ac:dyDescent="0.25">
      <c r="A400" s="83"/>
      <c r="B400" s="48">
        <v>3000</v>
      </c>
      <c r="C400" s="87" t="s">
        <v>106</v>
      </c>
      <c r="D400" s="86"/>
    </row>
    <row r="401" spans="1:4" ht="12" hidden="1" customHeight="1" outlineLevel="1" x14ac:dyDescent="0.25">
      <c r="A401" s="83"/>
      <c r="B401" s="48">
        <v>4000</v>
      </c>
      <c r="C401" s="88" t="s">
        <v>108</v>
      </c>
      <c r="D401" s="86"/>
    </row>
    <row r="402" spans="1:4" ht="12" hidden="1" customHeight="1" outlineLevel="1" collapsed="1" x14ac:dyDescent="0.25">
      <c r="A402" s="83"/>
      <c r="B402" s="48">
        <v>5000</v>
      </c>
      <c r="C402" s="49" t="s">
        <v>110</v>
      </c>
      <c r="D402" s="89"/>
    </row>
    <row r="403" spans="1:4" ht="12" hidden="1" customHeight="1" outlineLevel="1" x14ac:dyDescent="0.25">
      <c r="A403" s="83"/>
      <c r="B403" s="48">
        <v>6000</v>
      </c>
      <c r="C403" s="49" t="s">
        <v>320</v>
      </c>
      <c r="D403" s="86"/>
    </row>
    <row r="404" spans="1:4" ht="12" hidden="1" customHeight="1" outlineLevel="1" collapsed="1" x14ac:dyDescent="0.25">
      <c r="A404" s="83"/>
      <c r="B404" s="48">
        <v>7000</v>
      </c>
      <c r="C404" s="49" t="s">
        <v>321</v>
      </c>
      <c r="D404" s="86"/>
    </row>
    <row r="405" spans="1:4" ht="12" hidden="1" customHeight="1" outlineLevel="1" x14ac:dyDescent="0.25">
      <c r="A405" s="83"/>
      <c r="B405" s="90">
        <v>8000</v>
      </c>
      <c r="C405" s="91" t="s">
        <v>116</v>
      </c>
      <c r="D405" s="89"/>
    </row>
    <row r="406" spans="1:4" ht="12" hidden="1" customHeight="1" outlineLevel="1" x14ac:dyDescent="0.25">
      <c r="A406" s="92" t="s">
        <v>176</v>
      </c>
      <c r="B406" s="93"/>
      <c r="C406" s="94" t="s">
        <v>177</v>
      </c>
      <c r="D406" s="95">
        <f t="shared" ref="D406" si="79">D407+D412+D415</f>
        <v>0</v>
      </c>
    </row>
    <row r="407" spans="1:4" ht="12" hidden="1" customHeight="1" outlineLevel="1" x14ac:dyDescent="0.25">
      <c r="A407" s="76"/>
      <c r="B407" s="77"/>
      <c r="C407" s="78" t="s">
        <v>319</v>
      </c>
      <c r="D407" s="79">
        <f t="shared" ref="D407" si="80">D408+D409+D410+D411+D413+D414</f>
        <v>0</v>
      </c>
    </row>
    <row r="408" spans="1:4" ht="12" hidden="1" customHeight="1" outlineLevel="1" x14ac:dyDescent="0.25">
      <c r="A408" s="76"/>
      <c r="B408" s="80">
        <v>1000</v>
      </c>
      <c r="C408" s="81" t="s">
        <v>102</v>
      </c>
      <c r="D408" s="82"/>
    </row>
    <row r="409" spans="1:4" ht="12" hidden="1" customHeight="1" outlineLevel="1" x14ac:dyDescent="0.25">
      <c r="A409" s="83"/>
      <c r="B409" s="84">
        <v>2000</v>
      </c>
      <c r="C409" s="85" t="s">
        <v>104</v>
      </c>
      <c r="D409" s="86"/>
    </row>
    <row r="410" spans="1:4" ht="12" hidden="1" customHeight="1" outlineLevel="1" x14ac:dyDescent="0.25">
      <c r="A410" s="83"/>
      <c r="B410" s="48">
        <v>3000</v>
      </c>
      <c r="C410" s="87" t="s">
        <v>106</v>
      </c>
      <c r="D410" s="86"/>
    </row>
    <row r="411" spans="1:4" ht="12" hidden="1" customHeight="1" outlineLevel="1" x14ac:dyDescent="0.25">
      <c r="A411" s="83"/>
      <c r="B411" s="48">
        <v>4000</v>
      </c>
      <c r="C411" s="88" t="s">
        <v>108</v>
      </c>
      <c r="D411" s="86"/>
    </row>
    <row r="412" spans="1:4" ht="12" hidden="1" customHeight="1" outlineLevel="1" x14ac:dyDescent="0.25">
      <c r="A412" s="83"/>
      <c r="B412" s="48">
        <v>5000</v>
      </c>
      <c r="C412" s="49" t="s">
        <v>110</v>
      </c>
      <c r="D412" s="89"/>
    </row>
    <row r="413" spans="1:4" ht="12" hidden="1" customHeight="1" outlineLevel="1" x14ac:dyDescent="0.25">
      <c r="A413" s="83"/>
      <c r="B413" s="48">
        <v>6000</v>
      </c>
      <c r="C413" s="49" t="s">
        <v>320</v>
      </c>
      <c r="D413" s="86"/>
    </row>
    <row r="414" spans="1:4" ht="12" hidden="1" customHeight="1" outlineLevel="1" x14ac:dyDescent="0.25">
      <c r="A414" s="83"/>
      <c r="B414" s="48">
        <v>7000</v>
      </c>
      <c r="C414" s="49" t="s">
        <v>321</v>
      </c>
      <c r="D414" s="86"/>
    </row>
    <row r="415" spans="1:4" ht="12" hidden="1" customHeight="1" outlineLevel="1" x14ac:dyDescent="0.25">
      <c r="A415" s="83"/>
      <c r="B415" s="90">
        <v>8000</v>
      </c>
      <c r="C415" s="91" t="s">
        <v>116</v>
      </c>
      <c r="D415" s="89"/>
    </row>
    <row r="416" spans="1:4" ht="12" hidden="1" customHeight="1" outlineLevel="1" x14ac:dyDescent="0.25">
      <c r="A416" s="92" t="s">
        <v>178</v>
      </c>
      <c r="B416" s="93"/>
      <c r="C416" s="94" t="s">
        <v>349</v>
      </c>
      <c r="D416" s="95">
        <f t="shared" ref="D416" si="81">D417+D422+D425</f>
        <v>0</v>
      </c>
    </row>
    <row r="417" spans="1:4" ht="12" hidden="1" customHeight="1" outlineLevel="1" x14ac:dyDescent="0.25">
      <c r="A417" s="76"/>
      <c r="B417" s="77"/>
      <c r="C417" s="78" t="s">
        <v>319</v>
      </c>
      <c r="D417" s="79">
        <f t="shared" ref="D417" si="82">D418+D419+D420+D421+D423+D424</f>
        <v>0</v>
      </c>
    </row>
    <row r="418" spans="1:4" ht="12" hidden="1" customHeight="1" outlineLevel="1" x14ac:dyDescent="0.25">
      <c r="A418" s="76"/>
      <c r="B418" s="80">
        <v>1000</v>
      </c>
      <c r="C418" s="81" t="s">
        <v>102</v>
      </c>
      <c r="D418" s="82"/>
    </row>
    <row r="419" spans="1:4" ht="12" hidden="1" customHeight="1" outlineLevel="1" x14ac:dyDescent="0.25">
      <c r="A419" s="83"/>
      <c r="B419" s="84">
        <v>2000</v>
      </c>
      <c r="C419" s="85" t="s">
        <v>104</v>
      </c>
      <c r="D419" s="86"/>
    </row>
    <row r="420" spans="1:4" ht="12" hidden="1" customHeight="1" outlineLevel="1" x14ac:dyDescent="0.25">
      <c r="A420" s="83"/>
      <c r="B420" s="48">
        <v>3000</v>
      </c>
      <c r="C420" s="87" t="s">
        <v>106</v>
      </c>
      <c r="D420" s="86"/>
    </row>
    <row r="421" spans="1:4" ht="12" hidden="1" customHeight="1" outlineLevel="1" x14ac:dyDescent="0.25">
      <c r="A421" s="83"/>
      <c r="B421" s="48">
        <v>4000</v>
      </c>
      <c r="C421" s="88" t="s">
        <v>108</v>
      </c>
      <c r="D421" s="86"/>
    </row>
    <row r="422" spans="1:4" ht="12" hidden="1" customHeight="1" outlineLevel="1" x14ac:dyDescent="0.25">
      <c r="A422" s="83"/>
      <c r="B422" s="48">
        <v>5000</v>
      </c>
      <c r="C422" s="49" t="s">
        <v>110</v>
      </c>
      <c r="D422" s="89"/>
    </row>
    <row r="423" spans="1:4" ht="12" hidden="1" customHeight="1" outlineLevel="1" x14ac:dyDescent="0.25">
      <c r="A423" s="83"/>
      <c r="B423" s="48">
        <v>6000</v>
      </c>
      <c r="C423" s="49" t="s">
        <v>320</v>
      </c>
      <c r="D423" s="86"/>
    </row>
    <row r="424" spans="1:4" ht="12" hidden="1" customHeight="1" outlineLevel="1" x14ac:dyDescent="0.25">
      <c r="A424" s="83"/>
      <c r="B424" s="48">
        <v>7000</v>
      </c>
      <c r="C424" s="49" t="s">
        <v>321</v>
      </c>
      <c r="D424" s="86"/>
    </row>
    <row r="425" spans="1:4" ht="12" hidden="1" customHeight="1" outlineLevel="1" x14ac:dyDescent="0.25">
      <c r="A425" s="83"/>
      <c r="B425" s="90">
        <v>8000</v>
      </c>
      <c r="C425" s="91" t="s">
        <v>116</v>
      </c>
      <c r="D425" s="89"/>
    </row>
    <row r="426" spans="1:4" ht="28.5" customHeight="1" collapsed="1" x14ac:dyDescent="0.25">
      <c r="A426" s="92" t="s">
        <v>180</v>
      </c>
      <c r="B426" s="93"/>
      <c r="C426" s="113" t="s">
        <v>181</v>
      </c>
      <c r="D426" s="95">
        <f t="shared" ref="D426" si="83">D427+D432+D435</f>
        <v>12153</v>
      </c>
    </row>
    <row r="427" spans="1:4" ht="12" customHeight="1" x14ac:dyDescent="0.25">
      <c r="A427" s="76"/>
      <c r="B427" s="77"/>
      <c r="C427" s="78" t="s">
        <v>319</v>
      </c>
      <c r="D427" s="79">
        <f t="shared" ref="D427" si="84">D428+D429+D430+D431+D433+D434</f>
        <v>6490</v>
      </c>
    </row>
    <row r="428" spans="1:4" ht="12" hidden="1" customHeight="1" outlineLevel="1" x14ac:dyDescent="0.25">
      <c r="A428" s="76"/>
      <c r="B428" s="80">
        <v>1000</v>
      </c>
      <c r="C428" s="81" t="s">
        <v>102</v>
      </c>
      <c r="D428" s="82"/>
    </row>
    <row r="429" spans="1:4" ht="12" customHeight="1" collapsed="1" x14ac:dyDescent="0.25">
      <c r="A429" s="83"/>
      <c r="B429" s="84">
        <v>2000</v>
      </c>
      <c r="C429" s="85" t="s">
        <v>104</v>
      </c>
      <c r="D429" s="86">
        <v>6490</v>
      </c>
    </row>
    <row r="430" spans="1:4" ht="12" hidden="1" customHeight="1" outlineLevel="1" x14ac:dyDescent="0.25">
      <c r="A430" s="83"/>
      <c r="B430" s="48">
        <v>3000</v>
      </c>
      <c r="C430" s="87" t="s">
        <v>106</v>
      </c>
      <c r="D430" s="86"/>
    </row>
    <row r="431" spans="1:4" ht="12" hidden="1" customHeight="1" outlineLevel="1" x14ac:dyDescent="0.25">
      <c r="A431" s="83"/>
      <c r="B431" s="48">
        <v>4000</v>
      </c>
      <c r="C431" s="88" t="s">
        <v>108</v>
      </c>
      <c r="D431" s="86"/>
    </row>
    <row r="432" spans="1:4" ht="12" customHeight="1" collapsed="1" x14ac:dyDescent="0.25">
      <c r="A432" s="83"/>
      <c r="B432" s="48">
        <v>5000</v>
      </c>
      <c r="C432" s="49" t="s">
        <v>110</v>
      </c>
      <c r="D432" s="89">
        <v>5663</v>
      </c>
    </row>
    <row r="433" spans="1:4" ht="12" hidden="1" customHeight="1" outlineLevel="1" x14ac:dyDescent="0.25">
      <c r="A433" s="83"/>
      <c r="B433" s="48">
        <v>6000</v>
      </c>
      <c r="C433" s="49" t="s">
        <v>320</v>
      </c>
      <c r="D433" s="86"/>
    </row>
    <row r="434" spans="1:4" ht="12" hidden="1" customHeight="1" outlineLevel="1" x14ac:dyDescent="0.25">
      <c r="A434" s="83"/>
      <c r="B434" s="48">
        <v>7000</v>
      </c>
      <c r="C434" s="49" t="s">
        <v>321</v>
      </c>
      <c r="D434" s="86"/>
    </row>
    <row r="435" spans="1:4" ht="12" hidden="1" customHeight="1" outlineLevel="1" x14ac:dyDescent="0.25">
      <c r="A435" s="83"/>
      <c r="B435" s="90">
        <v>8000</v>
      </c>
      <c r="C435" s="91" t="s">
        <v>116</v>
      </c>
      <c r="D435" s="89"/>
    </row>
    <row r="436" spans="1:4" ht="14.25" hidden="1" customHeight="1" outlineLevel="1" x14ac:dyDescent="0.25">
      <c r="A436" s="110" t="s">
        <v>182</v>
      </c>
      <c r="B436" s="111"/>
      <c r="C436" s="112" t="s">
        <v>183</v>
      </c>
      <c r="D436" s="75">
        <f t="shared" ref="D436" si="85">D437+D442+D445</f>
        <v>0</v>
      </c>
    </row>
    <row r="437" spans="1:4" ht="12" hidden="1" customHeight="1" outlineLevel="1" x14ac:dyDescent="0.25">
      <c r="A437" s="76"/>
      <c r="B437" s="77"/>
      <c r="C437" s="78" t="s">
        <v>319</v>
      </c>
      <c r="D437" s="79">
        <f t="shared" ref="D437" si="86">D438+D439+D440+D441+D443+D444</f>
        <v>0</v>
      </c>
    </row>
    <row r="438" spans="1:4" ht="12" hidden="1" customHeight="1" outlineLevel="1" x14ac:dyDescent="0.25">
      <c r="A438" s="76"/>
      <c r="B438" s="80">
        <v>1000</v>
      </c>
      <c r="C438" s="81" t="s">
        <v>102</v>
      </c>
      <c r="D438" s="82">
        <f t="shared" ref="D438:D445" si="87">D448+D458+D468</f>
        <v>0</v>
      </c>
    </row>
    <row r="439" spans="1:4" ht="12" hidden="1" customHeight="1" outlineLevel="1" x14ac:dyDescent="0.25">
      <c r="A439" s="83"/>
      <c r="B439" s="84">
        <v>2000</v>
      </c>
      <c r="C439" s="85" t="s">
        <v>104</v>
      </c>
      <c r="D439" s="86">
        <f t="shared" si="87"/>
        <v>0</v>
      </c>
    </row>
    <row r="440" spans="1:4" ht="12" hidden="1" customHeight="1" outlineLevel="1" x14ac:dyDescent="0.25">
      <c r="A440" s="83"/>
      <c r="B440" s="48">
        <v>3000</v>
      </c>
      <c r="C440" s="87" t="s">
        <v>106</v>
      </c>
      <c r="D440" s="86">
        <f t="shared" si="87"/>
        <v>0</v>
      </c>
    </row>
    <row r="441" spans="1:4" ht="12" hidden="1" customHeight="1" outlineLevel="1" x14ac:dyDescent="0.25">
      <c r="A441" s="83"/>
      <c r="B441" s="48">
        <v>4000</v>
      </c>
      <c r="C441" s="88" t="s">
        <v>108</v>
      </c>
      <c r="D441" s="86">
        <f t="shared" si="87"/>
        <v>0</v>
      </c>
    </row>
    <row r="442" spans="1:4" ht="12" hidden="1" customHeight="1" outlineLevel="1" x14ac:dyDescent="0.25">
      <c r="A442" s="83"/>
      <c r="B442" s="48">
        <v>5000</v>
      </c>
      <c r="C442" s="49" t="s">
        <v>110</v>
      </c>
      <c r="D442" s="89">
        <f t="shared" si="87"/>
        <v>0</v>
      </c>
    </row>
    <row r="443" spans="1:4" ht="12" hidden="1" customHeight="1" outlineLevel="1" x14ac:dyDescent="0.25">
      <c r="A443" s="83"/>
      <c r="B443" s="48">
        <v>6000</v>
      </c>
      <c r="C443" s="49" t="s">
        <v>320</v>
      </c>
      <c r="D443" s="86">
        <f t="shared" si="87"/>
        <v>0</v>
      </c>
    </row>
    <row r="444" spans="1:4" ht="12" hidden="1" customHeight="1" outlineLevel="1" x14ac:dyDescent="0.25">
      <c r="A444" s="83"/>
      <c r="B444" s="48">
        <v>7000</v>
      </c>
      <c r="C444" s="49" t="s">
        <v>321</v>
      </c>
      <c r="D444" s="86">
        <f t="shared" si="87"/>
        <v>0</v>
      </c>
    </row>
    <row r="445" spans="1:4" ht="12" hidden="1" customHeight="1" outlineLevel="1" x14ac:dyDescent="0.25">
      <c r="A445" s="83"/>
      <c r="B445" s="90">
        <v>8000</v>
      </c>
      <c r="C445" s="91" t="s">
        <v>116</v>
      </c>
      <c r="D445" s="89">
        <f t="shared" si="87"/>
        <v>0</v>
      </c>
    </row>
    <row r="446" spans="1:4" ht="12" hidden="1" customHeight="1" outlineLevel="1" x14ac:dyDescent="0.25">
      <c r="A446" s="92" t="s">
        <v>184</v>
      </c>
      <c r="B446" s="93"/>
      <c r="C446" s="94" t="s">
        <v>350</v>
      </c>
      <c r="D446" s="95">
        <f t="shared" ref="D446" si="88">D447+D452+D455</f>
        <v>0</v>
      </c>
    </row>
    <row r="447" spans="1:4" ht="12" hidden="1" customHeight="1" outlineLevel="1" x14ac:dyDescent="0.25">
      <c r="A447" s="76"/>
      <c r="B447" s="77"/>
      <c r="C447" s="78" t="s">
        <v>319</v>
      </c>
      <c r="D447" s="79">
        <f t="shared" ref="D447" si="89">D448+D449+D450+D451+D453+D454</f>
        <v>0</v>
      </c>
    </row>
    <row r="448" spans="1:4" ht="12" hidden="1" customHeight="1" outlineLevel="1" x14ac:dyDescent="0.25">
      <c r="A448" s="76"/>
      <c r="B448" s="80">
        <v>1000</v>
      </c>
      <c r="C448" s="81" t="s">
        <v>102</v>
      </c>
      <c r="D448" s="82"/>
    </row>
    <row r="449" spans="1:4" ht="12" hidden="1" customHeight="1" outlineLevel="1" x14ac:dyDescent="0.25">
      <c r="A449" s="83"/>
      <c r="B449" s="84">
        <v>2000</v>
      </c>
      <c r="C449" s="85" t="s">
        <v>104</v>
      </c>
      <c r="D449" s="86"/>
    </row>
    <row r="450" spans="1:4" ht="12" hidden="1" customHeight="1" outlineLevel="1" x14ac:dyDescent="0.25">
      <c r="A450" s="83"/>
      <c r="B450" s="48">
        <v>3000</v>
      </c>
      <c r="C450" s="87" t="s">
        <v>106</v>
      </c>
      <c r="D450" s="86"/>
    </row>
    <row r="451" spans="1:4" ht="12" hidden="1" customHeight="1" outlineLevel="1" x14ac:dyDescent="0.25">
      <c r="A451" s="83"/>
      <c r="B451" s="48">
        <v>4000</v>
      </c>
      <c r="C451" s="88" t="s">
        <v>108</v>
      </c>
      <c r="D451" s="86"/>
    </row>
    <row r="452" spans="1:4" ht="12" hidden="1" customHeight="1" outlineLevel="1" x14ac:dyDescent="0.25">
      <c r="A452" s="83"/>
      <c r="B452" s="48">
        <v>5000</v>
      </c>
      <c r="C452" s="49" t="s">
        <v>110</v>
      </c>
      <c r="D452" s="89"/>
    </row>
    <row r="453" spans="1:4" ht="12" hidden="1" customHeight="1" outlineLevel="1" x14ac:dyDescent="0.25">
      <c r="A453" s="83"/>
      <c r="B453" s="48">
        <v>6000</v>
      </c>
      <c r="C453" s="49" t="s">
        <v>320</v>
      </c>
      <c r="D453" s="86"/>
    </row>
    <row r="454" spans="1:4" ht="12" hidden="1" customHeight="1" outlineLevel="1" x14ac:dyDescent="0.25">
      <c r="A454" s="83"/>
      <c r="B454" s="48">
        <v>7000</v>
      </c>
      <c r="C454" s="49" t="s">
        <v>321</v>
      </c>
      <c r="D454" s="86"/>
    </row>
    <row r="455" spans="1:4" ht="12" hidden="1" customHeight="1" outlineLevel="1" x14ac:dyDescent="0.25">
      <c r="A455" s="83"/>
      <c r="B455" s="90">
        <v>8000</v>
      </c>
      <c r="C455" s="91" t="s">
        <v>116</v>
      </c>
      <c r="D455" s="89"/>
    </row>
    <row r="456" spans="1:4" ht="12" hidden="1" customHeight="1" outlineLevel="1" x14ac:dyDescent="0.25">
      <c r="A456" s="92" t="s">
        <v>186</v>
      </c>
      <c r="B456" s="93"/>
      <c r="C456" s="94" t="s">
        <v>351</v>
      </c>
      <c r="D456" s="95">
        <f t="shared" ref="D456" si="90">D457+D462+D465</f>
        <v>0</v>
      </c>
    </row>
    <row r="457" spans="1:4" ht="12" hidden="1" customHeight="1" outlineLevel="1" x14ac:dyDescent="0.25">
      <c r="A457" s="76"/>
      <c r="B457" s="77"/>
      <c r="C457" s="78" t="s">
        <v>319</v>
      </c>
      <c r="D457" s="79">
        <f t="shared" ref="D457" si="91">D458+D459+D460+D461+D463+D464</f>
        <v>0</v>
      </c>
    </row>
    <row r="458" spans="1:4" ht="12" hidden="1" customHeight="1" outlineLevel="1" x14ac:dyDescent="0.25">
      <c r="A458" s="76"/>
      <c r="B458" s="80">
        <v>1000</v>
      </c>
      <c r="C458" s="81" t="s">
        <v>102</v>
      </c>
      <c r="D458" s="82"/>
    </row>
    <row r="459" spans="1:4" ht="12" hidden="1" customHeight="1" outlineLevel="1" x14ac:dyDescent="0.25">
      <c r="A459" s="83"/>
      <c r="B459" s="84">
        <v>2000</v>
      </c>
      <c r="C459" s="85" t="s">
        <v>104</v>
      </c>
      <c r="D459" s="86"/>
    </row>
    <row r="460" spans="1:4" ht="12" hidden="1" customHeight="1" outlineLevel="1" x14ac:dyDescent="0.25">
      <c r="A460" s="83"/>
      <c r="B460" s="48">
        <v>3000</v>
      </c>
      <c r="C460" s="87" t="s">
        <v>106</v>
      </c>
      <c r="D460" s="86"/>
    </row>
    <row r="461" spans="1:4" ht="12" hidden="1" customHeight="1" outlineLevel="1" x14ac:dyDescent="0.25">
      <c r="A461" s="83"/>
      <c r="B461" s="48">
        <v>4000</v>
      </c>
      <c r="C461" s="88" t="s">
        <v>108</v>
      </c>
      <c r="D461" s="86"/>
    </row>
    <row r="462" spans="1:4" ht="12" hidden="1" customHeight="1" outlineLevel="1" x14ac:dyDescent="0.25">
      <c r="A462" s="83"/>
      <c r="B462" s="48">
        <v>5000</v>
      </c>
      <c r="C462" s="49" t="s">
        <v>110</v>
      </c>
      <c r="D462" s="89"/>
    </row>
    <row r="463" spans="1:4" ht="12" hidden="1" customHeight="1" outlineLevel="1" x14ac:dyDescent="0.25">
      <c r="A463" s="83"/>
      <c r="B463" s="48">
        <v>6000</v>
      </c>
      <c r="C463" s="49" t="s">
        <v>320</v>
      </c>
      <c r="D463" s="86"/>
    </row>
    <row r="464" spans="1:4" ht="12" hidden="1" customHeight="1" outlineLevel="1" x14ac:dyDescent="0.25">
      <c r="A464" s="83"/>
      <c r="B464" s="48">
        <v>7000</v>
      </c>
      <c r="C464" s="49" t="s">
        <v>321</v>
      </c>
      <c r="D464" s="86"/>
    </row>
    <row r="465" spans="1:4" ht="12" hidden="1" customHeight="1" outlineLevel="1" x14ac:dyDescent="0.25">
      <c r="A465" s="83"/>
      <c r="B465" s="90">
        <v>8000</v>
      </c>
      <c r="C465" s="91" t="s">
        <v>116</v>
      </c>
      <c r="D465" s="89"/>
    </row>
    <row r="466" spans="1:4" ht="12" hidden="1" customHeight="1" outlineLevel="1" x14ac:dyDescent="0.25">
      <c r="A466" s="92" t="s">
        <v>187</v>
      </c>
      <c r="B466" s="93"/>
      <c r="C466" s="94" t="s">
        <v>188</v>
      </c>
      <c r="D466" s="95">
        <f t="shared" ref="D466" si="92">D467+D472+D475</f>
        <v>0</v>
      </c>
    </row>
    <row r="467" spans="1:4" ht="12" hidden="1" customHeight="1" outlineLevel="1" x14ac:dyDescent="0.25">
      <c r="A467" s="76"/>
      <c r="B467" s="77"/>
      <c r="C467" s="78" t="s">
        <v>319</v>
      </c>
      <c r="D467" s="79">
        <f t="shared" ref="D467" si="93">D468+D469+D470+D471+D473+D474</f>
        <v>0</v>
      </c>
    </row>
    <row r="468" spans="1:4" ht="12" hidden="1" customHeight="1" outlineLevel="1" x14ac:dyDescent="0.25">
      <c r="A468" s="76"/>
      <c r="B468" s="80">
        <v>1000</v>
      </c>
      <c r="C468" s="81" t="s">
        <v>102</v>
      </c>
      <c r="D468" s="82"/>
    </row>
    <row r="469" spans="1:4" ht="12" hidden="1" customHeight="1" outlineLevel="1" x14ac:dyDescent="0.25">
      <c r="A469" s="83"/>
      <c r="B469" s="84">
        <v>2000</v>
      </c>
      <c r="C469" s="85" t="s">
        <v>104</v>
      </c>
      <c r="D469" s="86"/>
    </row>
    <row r="470" spans="1:4" ht="12" hidden="1" customHeight="1" outlineLevel="1" x14ac:dyDescent="0.25">
      <c r="A470" s="83"/>
      <c r="B470" s="48">
        <v>3000</v>
      </c>
      <c r="C470" s="87" t="s">
        <v>106</v>
      </c>
      <c r="D470" s="86"/>
    </row>
    <row r="471" spans="1:4" ht="12" hidden="1" customHeight="1" outlineLevel="1" x14ac:dyDescent="0.25">
      <c r="A471" s="83"/>
      <c r="B471" s="48">
        <v>4000</v>
      </c>
      <c r="C471" s="88" t="s">
        <v>108</v>
      </c>
      <c r="D471" s="86"/>
    </row>
    <row r="472" spans="1:4" ht="12" hidden="1" customHeight="1" outlineLevel="1" x14ac:dyDescent="0.25">
      <c r="A472" s="83"/>
      <c r="B472" s="48">
        <v>5000</v>
      </c>
      <c r="C472" s="49" t="s">
        <v>110</v>
      </c>
      <c r="D472" s="89"/>
    </row>
    <row r="473" spans="1:4" ht="12" hidden="1" customHeight="1" outlineLevel="1" x14ac:dyDescent="0.25">
      <c r="A473" s="83"/>
      <c r="B473" s="48">
        <v>6000</v>
      </c>
      <c r="C473" s="49" t="s">
        <v>320</v>
      </c>
      <c r="D473" s="86"/>
    </row>
    <row r="474" spans="1:4" ht="12" hidden="1" customHeight="1" outlineLevel="1" x14ac:dyDescent="0.25">
      <c r="A474" s="83"/>
      <c r="B474" s="48">
        <v>7000</v>
      </c>
      <c r="C474" s="49" t="s">
        <v>321</v>
      </c>
      <c r="D474" s="86"/>
    </row>
    <row r="475" spans="1:4" ht="12" hidden="1" customHeight="1" outlineLevel="1" x14ac:dyDescent="0.25">
      <c r="A475" s="83"/>
      <c r="B475" s="90">
        <v>8000</v>
      </c>
      <c r="C475" s="91" t="s">
        <v>116</v>
      </c>
      <c r="D475" s="89"/>
    </row>
    <row r="476" spans="1:4" ht="17.100000000000001" customHeight="1" collapsed="1" x14ac:dyDescent="0.25">
      <c r="A476" s="110" t="s">
        <v>189</v>
      </c>
      <c r="B476" s="111"/>
      <c r="C476" s="112" t="s">
        <v>190</v>
      </c>
      <c r="D476" s="75">
        <f>D477+D482+D485</f>
        <v>1335</v>
      </c>
    </row>
    <row r="477" spans="1:4" ht="12" customHeight="1" x14ac:dyDescent="0.25">
      <c r="A477" s="76"/>
      <c r="B477" s="77"/>
      <c r="C477" s="78" t="s">
        <v>319</v>
      </c>
      <c r="D477" s="79">
        <f>D478+D479+D480+D481+D483+D484</f>
        <v>1335</v>
      </c>
    </row>
    <row r="478" spans="1:4" ht="12" hidden="1" customHeight="1" outlineLevel="1" x14ac:dyDescent="0.25">
      <c r="A478" s="76"/>
      <c r="B478" s="80">
        <v>1000</v>
      </c>
      <c r="C478" s="81" t="s">
        <v>102</v>
      </c>
      <c r="D478" s="82">
        <f>D488+D498+D558+D568</f>
        <v>0</v>
      </c>
    </row>
    <row r="479" spans="1:4" ht="12" customHeight="1" collapsed="1" x14ac:dyDescent="0.25">
      <c r="A479" s="83"/>
      <c r="B479" s="84">
        <v>2000</v>
      </c>
      <c r="C479" s="85" t="s">
        <v>104</v>
      </c>
      <c r="D479" s="86">
        <f t="shared" ref="D479:D485" si="94">D489+D499+D559+D569</f>
        <v>1335</v>
      </c>
    </row>
    <row r="480" spans="1:4" ht="12" hidden="1" customHeight="1" outlineLevel="1" x14ac:dyDescent="0.25">
      <c r="A480" s="83"/>
      <c r="B480" s="48">
        <v>3000</v>
      </c>
      <c r="C480" s="87" t="s">
        <v>106</v>
      </c>
      <c r="D480" s="86">
        <f t="shared" si="94"/>
        <v>0</v>
      </c>
    </row>
    <row r="481" spans="1:4" ht="12" hidden="1" customHeight="1" outlineLevel="1" x14ac:dyDescent="0.25">
      <c r="A481" s="83"/>
      <c r="B481" s="48">
        <v>4000</v>
      </c>
      <c r="C481" s="88" t="s">
        <v>108</v>
      </c>
      <c r="D481" s="86">
        <f t="shared" si="94"/>
        <v>0</v>
      </c>
    </row>
    <row r="482" spans="1:4" ht="12" hidden="1" customHeight="1" outlineLevel="1" x14ac:dyDescent="0.25">
      <c r="A482" s="83"/>
      <c r="B482" s="48">
        <v>5000</v>
      </c>
      <c r="C482" s="49" t="s">
        <v>110</v>
      </c>
      <c r="D482" s="89">
        <f t="shared" si="94"/>
        <v>0</v>
      </c>
    </row>
    <row r="483" spans="1:4" ht="12" hidden="1" customHeight="1" outlineLevel="1" x14ac:dyDescent="0.25">
      <c r="A483" s="83"/>
      <c r="B483" s="48">
        <v>6000</v>
      </c>
      <c r="C483" s="49" t="s">
        <v>320</v>
      </c>
      <c r="D483" s="86">
        <f t="shared" si="94"/>
        <v>0</v>
      </c>
    </row>
    <row r="484" spans="1:4" ht="12" hidden="1" customHeight="1" outlineLevel="1" x14ac:dyDescent="0.25">
      <c r="A484" s="83"/>
      <c r="B484" s="48">
        <v>7000</v>
      </c>
      <c r="C484" s="49" t="s">
        <v>321</v>
      </c>
      <c r="D484" s="86">
        <f t="shared" si="94"/>
        <v>0</v>
      </c>
    </row>
    <row r="485" spans="1:4" ht="12" hidden="1" customHeight="1" outlineLevel="1" x14ac:dyDescent="0.25">
      <c r="A485" s="83"/>
      <c r="B485" s="90">
        <v>8000</v>
      </c>
      <c r="C485" s="91" t="s">
        <v>116</v>
      </c>
      <c r="D485" s="89">
        <f t="shared" si="94"/>
        <v>0</v>
      </c>
    </row>
    <row r="486" spans="1:4" ht="12" customHeight="1" collapsed="1" x14ac:dyDescent="0.25">
      <c r="A486" s="92" t="s">
        <v>40</v>
      </c>
      <c r="B486" s="93"/>
      <c r="C486" s="94" t="s">
        <v>352</v>
      </c>
      <c r="D486" s="95">
        <f t="shared" ref="D486" si="95">D487+D492+D495</f>
        <v>212</v>
      </c>
    </row>
    <row r="487" spans="1:4" ht="12" customHeight="1" x14ac:dyDescent="0.25">
      <c r="A487" s="76"/>
      <c r="B487" s="77"/>
      <c r="C487" s="78" t="s">
        <v>319</v>
      </c>
      <c r="D487" s="79">
        <f t="shared" ref="D487" si="96">D488+D489+D490+D491+D493+D494</f>
        <v>212</v>
      </c>
    </row>
    <row r="488" spans="1:4" ht="12" hidden="1" customHeight="1" outlineLevel="1" x14ac:dyDescent="0.25">
      <c r="A488" s="76"/>
      <c r="B488" s="80">
        <v>1000</v>
      </c>
      <c r="C488" s="81" t="s">
        <v>102</v>
      </c>
      <c r="D488" s="82"/>
    </row>
    <row r="489" spans="1:4" ht="12" customHeight="1" collapsed="1" x14ac:dyDescent="0.25">
      <c r="A489" s="83"/>
      <c r="B489" s="84">
        <v>2000</v>
      </c>
      <c r="C489" s="85" t="s">
        <v>104</v>
      </c>
      <c r="D489" s="86">
        <v>212</v>
      </c>
    </row>
    <row r="490" spans="1:4" ht="12" hidden="1" customHeight="1" outlineLevel="1" x14ac:dyDescent="0.25">
      <c r="A490" s="83"/>
      <c r="B490" s="48">
        <v>3000</v>
      </c>
      <c r="C490" s="87" t="s">
        <v>106</v>
      </c>
      <c r="D490" s="86"/>
    </row>
    <row r="491" spans="1:4" ht="12" hidden="1" customHeight="1" outlineLevel="1" x14ac:dyDescent="0.25">
      <c r="A491" s="83"/>
      <c r="B491" s="48">
        <v>4000</v>
      </c>
      <c r="C491" s="88" t="s">
        <v>108</v>
      </c>
      <c r="D491" s="86"/>
    </row>
    <row r="492" spans="1:4" ht="12" hidden="1" customHeight="1" outlineLevel="1" x14ac:dyDescent="0.25">
      <c r="A492" s="83"/>
      <c r="B492" s="48">
        <v>5000</v>
      </c>
      <c r="C492" s="49" t="s">
        <v>110</v>
      </c>
      <c r="D492" s="89"/>
    </row>
    <row r="493" spans="1:4" ht="12" hidden="1" customHeight="1" outlineLevel="1" x14ac:dyDescent="0.25">
      <c r="A493" s="83"/>
      <c r="B493" s="48">
        <v>6000</v>
      </c>
      <c r="C493" s="49" t="s">
        <v>320</v>
      </c>
      <c r="D493" s="86"/>
    </row>
    <row r="494" spans="1:4" ht="12" hidden="1" customHeight="1" outlineLevel="1" x14ac:dyDescent="0.25">
      <c r="A494" s="83"/>
      <c r="B494" s="48">
        <v>7000</v>
      </c>
      <c r="C494" s="49" t="s">
        <v>321</v>
      </c>
      <c r="D494" s="86"/>
    </row>
    <row r="495" spans="1:4" ht="12" hidden="1" customHeight="1" outlineLevel="1" x14ac:dyDescent="0.25">
      <c r="A495" s="83"/>
      <c r="B495" s="90">
        <v>8000</v>
      </c>
      <c r="C495" s="91" t="s">
        <v>116</v>
      </c>
      <c r="D495" s="114"/>
    </row>
    <row r="496" spans="1:4" ht="12" customHeight="1" collapsed="1" x14ac:dyDescent="0.25">
      <c r="A496" s="92" t="s">
        <v>192</v>
      </c>
      <c r="B496" s="93"/>
      <c r="C496" s="94" t="s">
        <v>193</v>
      </c>
      <c r="D496" s="95">
        <f t="shared" ref="D496" si="97">D497+D502+D505</f>
        <v>1123</v>
      </c>
    </row>
    <row r="497" spans="1:4" ht="12" customHeight="1" x14ac:dyDescent="0.25">
      <c r="A497" s="83"/>
      <c r="B497" s="77"/>
      <c r="C497" s="78" t="s">
        <v>319</v>
      </c>
      <c r="D497" s="79">
        <f t="shared" ref="D497" si="98">D498+D499+D500+D501+D503+D504</f>
        <v>1123</v>
      </c>
    </row>
    <row r="498" spans="1:4" ht="12" hidden="1" customHeight="1" outlineLevel="1" x14ac:dyDescent="0.25">
      <c r="A498" s="83"/>
      <c r="B498" s="80">
        <v>1000</v>
      </c>
      <c r="C498" s="81" t="s">
        <v>102</v>
      </c>
      <c r="D498" s="82">
        <f>D508+D518+D528+D538+D548</f>
        <v>0</v>
      </c>
    </row>
    <row r="499" spans="1:4" ht="12" customHeight="1" collapsed="1" x14ac:dyDescent="0.25">
      <c r="A499" s="83"/>
      <c r="B499" s="84">
        <v>2000</v>
      </c>
      <c r="C499" s="85" t="s">
        <v>104</v>
      </c>
      <c r="D499" s="86">
        <f t="shared" ref="D499:D505" si="99">D509+D519+D529+D539+D549</f>
        <v>1123</v>
      </c>
    </row>
    <row r="500" spans="1:4" ht="12" hidden="1" customHeight="1" outlineLevel="1" x14ac:dyDescent="0.25">
      <c r="A500" s="83"/>
      <c r="B500" s="48">
        <v>3000</v>
      </c>
      <c r="C500" s="87" t="s">
        <v>106</v>
      </c>
      <c r="D500" s="86">
        <f t="shared" si="99"/>
        <v>0</v>
      </c>
    </row>
    <row r="501" spans="1:4" ht="12" hidden="1" customHeight="1" outlineLevel="1" x14ac:dyDescent="0.25">
      <c r="A501" s="83"/>
      <c r="B501" s="48">
        <v>4000</v>
      </c>
      <c r="C501" s="88" t="s">
        <v>108</v>
      </c>
      <c r="D501" s="86">
        <f t="shared" si="99"/>
        <v>0</v>
      </c>
    </row>
    <row r="502" spans="1:4" ht="12" hidden="1" customHeight="1" outlineLevel="1" x14ac:dyDescent="0.25">
      <c r="A502" s="83"/>
      <c r="B502" s="48">
        <v>5000</v>
      </c>
      <c r="C502" s="49" t="s">
        <v>110</v>
      </c>
      <c r="D502" s="89">
        <f t="shared" si="99"/>
        <v>0</v>
      </c>
    </row>
    <row r="503" spans="1:4" ht="12" hidden="1" customHeight="1" outlineLevel="1" x14ac:dyDescent="0.25">
      <c r="A503" s="83"/>
      <c r="B503" s="48">
        <v>6000</v>
      </c>
      <c r="C503" s="49" t="s">
        <v>320</v>
      </c>
      <c r="D503" s="86">
        <f t="shared" si="99"/>
        <v>0</v>
      </c>
    </row>
    <row r="504" spans="1:4" ht="12" hidden="1" customHeight="1" outlineLevel="1" x14ac:dyDescent="0.25">
      <c r="A504" s="83"/>
      <c r="B504" s="48">
        <v>7000</v>
      </c>
      <c r="C504" s="49" t="s">
        <v>321</v>
      </c>
      <c r="D504" s="86">
        <f t="shared" si="99"/>
        <v>0</v>
      </c>
    </row>
    <row r="505" spans="1:4" ht="12" hidden="1" customHeight="1" outlineLevel="1" x14ac:dyDescent="0.25">
      <c r="A505" s="83"/>
      <c r="B505" s="90">
        <v>8000</v>
      </c>
      <c r="C505" s="91" t="s">
        <v>116</v>
      </c>
      <c r="D505" s="89">
        <f t="shared" si="99"/>
        <v>0</v>
      </c>
    </row>
    <row r="506" spans="1:4" ht="12" hidden="1" customHeight="1" outlineLevel="1" x14ac:dyDescent="0.25">
      <c r="A506" s="105" t="s">
        <v>194</v>
      </c>
      <c r="B506" s="106"/>
      <c r="C506" s="107" t="s">
        <v>353</v>
      </c>
      <c r="D506" s="108">
        <f t="shared" ref="D506" si="100">D507+D512+D515</f>
        <v>0</v>
      </c>
    </row>
    <row r="507" spans="1:4" ht="12" hidden="1" customHeight="1" outlineLevel="1" x14ac:dyDescent="0.25">
      <c r="A507" s="76"/>
      <c r="B507" s="77"/>
      <c r="C507" s="78" t="s">
        <v>319</v>
      </c>
      <c r="D507" s="79">
        <f t="shared" ref="D507" si="101">D508+D509+D510+D511+D513+D514</f>
        <v>0</v>
      </c>
    </row>
    <row r="508" spans="1:4" ht="12" hidden="1" customHeight="1" outlineLevel="1" x14ac:dyDescent="0.25">
      <c r="A508" s="76"/>
      <c r="B508" s="80">
        <v>1000</v>
      </c>
      <c r="C508" s="81" t="s">
        <v>102</v>
      </c>
      <c r="D508" s="82"/>
    </row>
    <row r="509" spans="1:4" ht="12" hidden="1" customHeight="1" outlineLevel="1" x14ac:dyDescent="0.25">
      <c r="A509" s="83"/>
      <c r="B509" s="84">
        <v>2000</v>
      </c>
      <c r="C509" s="85" t="s">
        <v>104</v>
      </c>
      <c r="D509" s="86"/>
    </row>
    <row r="510" spans="1:4" ht="12" hidden="1" customHeight="1" outlineLevel="1" x14ac:dyDescent="0.25">
      <c r="A510" s="83"/>
      <c r="B510" s="48">
        <v>3000</v>
      </c>
      <c r="C510" s="87" t="s">
        <v>106</v>
      </c>
      <c r="D510" s="86"/>
    </row>
    <row r="511" spans="1:4" ht="12" hidden="1" customHeight="1" outlineLevel="1" x14ac:dyDescent="0.25">
      <c r="A511" s="83"/>
      <c r="B511" s="48">
        <v>4000</v>
      </c>
      <c r="C511" s="88" t="s">
        <v>108</v>
      </c>
      <c r="D511" s="86"/>
    </row>
    <row r="512" spans="1:4" ht="12" hidden="1" customHeight="1" outlineLevel="1" x14ac:dyDescent="0.25">
      <c r="A512" s="83"/>
      <c r="B512" s="48">
        <v>5000</v>
      </c>
      <c r="C512" s="49" t="s">
        <v>110</v>
      </c>
      <c r="D512" s="89"/>
    </row>
    <row r="513" spans="1:4" ht="12" hidden="1" customHeight="1" outlineLevel="1" x14ac:dyDescent="0.25">
      <c r="A513" s="83"/>
      <c r="B513" s="48">
        <v>6000</v>
      </c>
      <c r="C513" s="49" t="s">
        <v>320</v>
      </c>
      <c r="D513" s="86"/>
    </row>
    <row r="514" spans="1:4" ht="12" hidden="1" customHeight="1" outlineLevel="1" x14ac:dyDescent="0.25">
      <c r="A514" s="83"/>
      <c r="B514" s="48">
        <v>7000</v>
      </c>
      <c r="C514" s="49" t="s">
        <v>321</v>
      </c>
      <c r="D514" s="86"/>
    </row>
    <row r="515" spans="1:4" ht="12" hidden="1" customHeight="1" outlineLevel="1" x14ac:dyDescent="0.25">
      <c r="A515" s="83"/>
      <c r="B515" s="90">
        <v>8000</v>
      </c>
      <c r="C515" s="91" t="s">
        <v>116</v>
      </c>
      <c r="D515" s="114"/>
    </row>
    <row r="516" spans="1:4" ht="12" customHeight="1" collapsed="1" x14ac:dyDescent="0.25">
      <c r="A516" s="105" t="s">
        <v>196</v>
      </c>
      <c r="B516" s="106"/>
      <c r="C516" s="107" t="s">
        <v>354</v>
      </c>
      <c r="D516" s="108">
        <f t="shared" ref="D516" si="102">D517+D522+D525</f>
        <v>261</v>
      </c>
    </row>
    <row r="517" spans="1:4" ht="12" customHeight="1" x14ac:dyDescent="0.25">
      <c r="A517" s="76"/>
      <c r="B517" s="77"/>
      <c r="C517" s="78" t="s">
        <v>319</v>
      </c>
      <c r="D517" s="79">
        <f t="shared" ref="D517" si="103">D518+D519+D520+D521+D523+D524</f>
        <v>261</v>
      </c>
    </row>
    <row r="518" spans="1:4" ht="12" hidden="1" customHeight="1" outlineLevel="1" x14ac:dyDescent="0.25">
      <c r="A518" s="76"/>
      <c r="B518" s="80">
        <v>1000</v>
      </c>
      <c r="C518" s="81" t="s">
        <v>102</v>
      </c>
      <c r="D518" s="82"/>
    </row>
    <row r="519" spans="1:4" ht="12" customHeight="1" collapsed="1" x14ac:dyDescent="0.25">
      <c r="A519" s="83"/>
      <c r="B519" s="84">
        <v>2000</v>
      </c>
      <c r="C519" s="85" t="s">
        <v>104</v>
      </c>
      <c r="D519" s="86">
        <v>261</v>
      </c>
    </row>
    <row r="520" spans="1:4" ht="12" hidden="1" customHeight="1" outlineLevel="1" x14ac:dyDescent="0.25">
      <c r="A520" s="83"/>
      <c r="B520" s="48">
        <v>3000</v>
      </c>
      <c r="C520" s="87" t="s">
        <v>106</v>
      </c>
      <c r="D520" s="86"/>
    </row>
    <row r="521" spans="1:4" ht="12" hidden="1" customHeight="1" outlineLevel="1" x14ac:dyDescent="0.25">
      <c r="A521" s="83"/>
      <c r="B521" s="48">
        <v>4000</v>
      </c>
      <c r="C521" s="88" t="s">
        <v>108</v>
      </c>
      <c r="D521" s="86"/>
    </row>
    <row r="522" spans="1:4" ht="12" hidden="1" customHeight="1" outlineLevel="1" x14ac:dyDescent="0.25">
      <c r="A522" s="83"/>
      <c r="B522" s="48">
        <v>5000</v>
      </c>
      <c r="C522" s="49" t="s">
        <v>110</v>
      </c>
      <c r="D522" s="89"/>
    </row>
    <row r="523" spans="1:4" ht="12" hidden="1" customHeight="1" outlineLevel="1" x14ac:dyDescent="0.25">
      <c r="A523" s="83"/>
      <c r="B523" s="48">
        <v>6000</v>
      </c>
      <c r="C523" s="49" t="s">
        <v>320</v>
      </c>
      <c r="D523" s="86"/>
    </row>
    <row r="524" spans="1:4" ht="12" hidden="1" customHeight="1" outlineLevel="1" x14ac:dyDescent="0.25">
      <c r="A524" s="83"/>
      <c r="B524" s="48">
        <v>7000</v>
      </c>
      <c r="C524" s="49" t="s">
        <v>321</v>
      </c>
      <c r="D524" s="86"/>
    </row>
    <row r="525" spans="1:4" ht="12" hidden="1" customHeight="1" outlineLevel="1" x14ac:dyDescent="0.25">
      <c r="A525" s="83"/>
      <c r="B525" s="90">
        <v>8000</v>
      </c>
      <c r="C525" s="91" t="s">
        <v>116</v>
      </c>
      <c r="D525" s="114"/>
    </row>
    <row r="526" spans="1:4" ht="12" customHeight="1" collapsed="1" x14ac:dyDescent="0.25">
      <c r="A526" s="105" t="s">
        <v>198</v>
      </c>
      <c r="B526" s="106"/>
      <c r="C526" s="107" t="s">
        <v>355</v>
      </c>
      <c r="D526" s="108">
        <f t="shared" ref="D526" si="104">D527+D532+D535</f>
        <v>55</v>
      </c>
    </row>
    <row r="527" spans="1:4" ht="12" customHeight="1" x14ac:dyDescent="0.25">
      <c r="A527" s="76"/>
      <c r="B527" s="77"/>
      <c r="C527" s="78" t="s">
        <v>319</v>
      </c>
      <c r="D527" s="79">
        <f t="shared" ref="D527" si="105">D528+D529+D530+D531+D533+D534</f>
        <v>55</v>
      </c>
    </row>
    <row r="528" spans="1:4" ht="12" hidden="1" customHeight="1" outlineLevel="1" x14ac:dyDescent="0.25">
      <c r="A528" s="76"/>
      <c r="B528" s="80">
        <v>1000</v>
      </c>
      <c r="C528" s="81" t="s">
        <v>102</v>
      </c>
      <c r="D528" s="82"/>
    </row>
    <row r="529" spans="1:4" ht="12" customHeight="1" collapsed="1" x14ac:dyDescent="0.25">
      <c r="A529" s="83"/>
      <c r="B529" s="84">
        <v>2000</v>
      </c>
      <c r="C529" s="85" t="s">
        <v>104</v>
      </c>
      <c r="D529" s="86">
        <v>55</v>
      </c>
    </row>
    <row r="530" spans="1:4" ht="12" hidden="1" customHeight="1" outlineLevel="1" x14ac:dyDescent="0.25">
      <c r="A530" s="83"/>
      <c r="B530" s="48">
        <v>3000</v>
      </c>
      <c r="C530" s="87" t="s">
        <v>106</v>
      </c>
      <c r="D530" s="86"/>
    </row>
    <row r="531" spans="1:4" ht="12" hidden="1" customHeight="1" outlineLevel="1" x14ac:dyDescent="0.25">
      <c r="A531" s="83"/>
      <c r="B531" s="48">
        <v>4000</v>
      </c>
      <c r="C531" s="88" t="s">
        <v>108</v>
      </c>
      <c r="D531" s="86"/>
    </row>
    <row r="532" spans="1:4" ht="12" hidden="1" customHeight="1" outlineLevel="1" x14ac:dyDescent="0.25">
      <c r="A532" s="83"/>
      <c r="B532" s="48">
        <v>5000</v>
      </c>
      <c r="C532" s="49" t="s">
        <v>110</v>
      </c>
      <c r="D532" s="89"/>
    </row>
    <row r="533" spans="1:4" ht="12" hidden="1" customHeight="1" outlineLevel="1" x14ac:dyDescent="0.25">
      <c r="A533" s="83"/>
      <c r="B533" s="48">
        <v>6000</v>
      </c>
      <c r="C533" s="49" t="s">
        <v>320</v>
      </c>
      <c r="D533" s="86"/>
    </row>
    <row r="534" spans="1:4" ht="12" hidden="1" customHeight="1" outlineLevel="1" x14ac:dyDescent="0.25">
      <c r="A534" s="83"/>
      <c r="B534" s="48">
        <v>7000</v>
      </c>
      <c r="C534" s="49" t="s">
        <v>321</v>
      </c>
      <c r="D534" s="86"/>
    </row>
    <row r="535" spans="1:4" ht="12" hidden="1" customHeight="1" outlineLevel="1" x14ac:dyDescent="0.25">
      <c r="A535" s="83"/>
      <c r="B535" s="90">
        <v>8000</v>
      </c>
      <c r="C535" s="91" t="s">
        <v>116</v>
      </c>
      <c r="D535" s="114"/>
    </row>
    <row r="536" spans="1:4" ht="12" hidden="1" customHeight="1" outlineLevel="1" x14ac:dyDescent="0.25">
      <c r="A536" s="105" t="s">
        <v>200</v>
      </c>
      <c r="B536" s="106"/>
      <c r="C536" s="107" t="s">
        <v>356</v>
      </c>
      <c r="D536" s="108">
        <f t="shared" ref="D536" si="106">D537+D542+D545</f>
        <v>0</v>
      </c>
    </row>
    <row r="537" spans="1:4" ht="12" hidden="1" customHeight="1" outlineLevel="1" x14ac:dyDescent="0.25">
      <c r="A537" s="76"/>
      <c r="B537" s="77"/>
      <c r="C537" s="78" t="s">
        <v>319</v>
      </c>
      <c r="D537" s="79">
        <f t="shared" ref="D537" si="107">D538+D539+D540+D541+D543+D544</f>
        <v>0</v>
      </c>
    </row>
    <row r="538" spans="1:4" ht="12" hidden="1" customHeight="1" outlineLevel="1" x14ac:dyDescent="0.25">
      <c r="A538" s="76"/>
      <c r="B538" s="80">
        <v>1000</v>
      </c>
      <c r="C538" s="81" t="s">
        <v>102</v>
      </c>
      <c r="D538" s="82"/>
    </row>
    <row r="539" spans="1:4" ht="12" hidden="1" customHeight="1" outlineLevel="1" x14ac:dyDescent="0.25">
      <c r="A539" s="83"/>
      <c r="B539" s="84">
        <v>2000</v>
      </c>
      <c r="C539" s="85" t="s">
        <v>104</v>
      </c>
      <c r="D539" s="86"/>
    </row>
    <row r="540" spans="1:4" ht="12" hidden="1" customHeight="1" outlineLevel="1" x14ac:dyDescent="0.25">
      <c r="A540" s="83"/>
      <c r="B540" s="48">
        <v>3000</v>
      </c>
      <c r="C540" s="87" t="s">
        <v>106</v>
      </c>
      <c r="D540" s="86"/>
    </row>
    <row r="541" spans="1:4" ht="12" hidden="1" customHeight="1" outlineLevel="1" x14ac:dyDescent="0.25">
      <c r="A541" s="83"/>
      <c r="B541" s="48">
        <v>4000</v>
      </c>
      <c r="C541" s="88" t="s">
        <v>108</v>
      </c>
      <c r="D541" s="86"/>
    </row>
    <row r="542" spans="1:4" ht="12" hidden="1" customHeight="1" outlineLevel="1" x14ac:dyDescent="0.25">
      <c r="A542" s="83"/>
      <c r="B542" s="48">
        <v>5000</v>
      </c>
      <c r="C542" s="49" t="s">
        <v>110</v>
      </c>
      <c r="D542" s="89"/>
    </row>
    <row r="543" spans="1:4" ht="12" hidden="1" customHeight="1" outlineLevel="1" x14ac:dyDescent="0.25">
      <c r="A543" s="83"/>
      <c r="B543" s="48">
        <v>6000</v>
      </c>
      <c r="C543" s="49" t="s">
        <v>320</v>
      </c>
      <c r="D543" s="86"/>
    </row>
    <row r="544" spans="1:4" ht="12" hidden="1" customHeight="1" outlineLevel="1" x14ac:dyDescent="0.25">
      <c r="A544" s="83"/>
      <c r="B544" s="48">
        <v>7000</v>
      </c>
      <c r="C544" s="49" t="s">
        <v>321</v>
      </c>
      <c r="D544" s="86"/>
    </row>
    <row r="545" spans="1:4" ht="12" hidden="1" customHeight="1" outlineLevel="1" x14ac:dyDescent="0.25">
      <c r="A545" s="83"/>
      <c r="B545" s="90">
        <v>8000</v>
      </c>
      <c r="C545" s="91" t="s">
        <v>116</v>
      </c>
      <c r="D545" s="114"/>
    </row>
    <row r="546" spans="1:4" ht="12" customHeight="1" collapsed="1" x14ac:dyDescent="0.25">
      <c r="A546" s="105" t="s">
        <v>357</v>
      </c>
      <c r="B546" s="106"/>
      <c r="C546" s="107" t="s">
        <v>358</v>
      </c>
      <c r="D546" s="108">
        <f t="shared" ref="D546" si="108">D547+D552+D555</f>
        <v>807</v>
      </c>
    </row>
    <row r="547" spans="1:4" ht="12" customHeight="1" x14ac:dyDescent="0.25">
      <c r="A547" s="76"/>
      <c r="B547" s="77"/>
      <c r="C547" s="78" t="s">
        <v>319</v>
      </c>
      <c r="D547" s="79">
        <f t="shared" ref="D547" si="109">D548+D549+D550+D551+D553+D554</f>
        <v>807</v>
      </c>
    </row>
    <row r="548" spans="1:4" ht="12.75" hidden="1" customHeight="1" outlineLevel="1" x14ac:dyDescent="0.25">
      <c r="A548" s="76"/>
      <c r="B548" s="80">
        <v>1000</v>
      </c>
      <c r="C548" s="81" t="s">
        <v>102</v>
      </c>
      <c r="D548" s="82"/>
    </row>
    <row r="549" spans="1:4" ht="12" customHeight="1" collapsed="1" x14ac:dyDescent="0.25">
      <c r="A549" s="83"/>
      <c r="B549" s="84">
        <v>2000</v>
      </c>
      <c r="C549" s="85" t="s">
        <v>104</v>
      </c>
      <c r="D549" s="86">
        <v>807</v>
      </c>
    </row>
    <row r="550" spans="1:4" ht="12" hidden="1" customHeight="1" outlineLevel="1" x14ac:dyDescent="0.25">
      <c r="A550" s="83"/>
      <c r="B550" s="48">
        <v>3000</v>
      </c>
      <c r="C550" s="87" t="s">
        <v>106</v>
      </c>
      <c r="D550" s="86"/>
    </row>
    <row r="551" spans="1:4" ht="12" hidden="1" customHeight="1" outlineLevel="1" x14ac:dyDescent="0.25">
      <c r="A551" s="83"/>
      <c r="B551" s="48">
        <v>4000</v>
      </c>
      <c r="C551" s="88" t="s">
        <v>108</v>
      </c>
      <c r="D551" s="86"/>
    </row>
    <row r="552" spans="1:4" ht="12" hidden="1" customHeight="1" outlineLevel="1" x14ac:dyDescent="0.25">
      <c r="A552" s="83"/>
      <c r="B552" s="48">
        <v>5000</v>
      </c>
      <c r="C552" s="49" t="s">
        <v>110</v>
      </c>
      <c r="D552" s="89"/>
    </row>
    <row r="553" spans="1:4" ht="12" hidden="1" customHeight="1" outlineLevel="1" x14ac:dyDescent="0.25">
      <c r="A553" s="83"/>
      <c r="B553" s="48">
        <v>6000</v>
      </c>
      <c r="C553" s="49" t="s">
        <v>320</v>
      </c>
      <c r="D553" s="86"/>
    </row>
    <row r="554" spans="1:4" ht="12" hidden="1" customHeight="1" outlineLevel="1" x14ac:dyDescent="0.25">
      <c r="A554" s="83"/>
      <c r="B554" s="48">
        <v>7000</v>
      </c>
      <c r="C554" s="49" t="s">
        <v>321</v>
      </c>
      <c r="D554" s="86"/>
    </row>
    <row r="555" spans="1:4" ht="12" hidden="1" customHeight="1" outlineLevel="1" x14ac:dyDescent="0.25">
      <c r="A555" s="83"/>
      <c r="B555" s="90">
        <v>8000</v>
      </c>
      <c r="C555" s="91" t="s">
        <v>116</v>
      </c>
      <c r="D555" s="114"/>
    </row>
    <row r="556" spans="1:4" ht="28.5" hidden="1" customHeight="1" outlineLevel="1" x14ac:dyDescent="0.25">
      <c r="A556" s="92" t="s">
        <v>204</v>
      </c>
      <c r="B556" s="93"/>
      <c r="C556" s="113" t="s">
        <v>359</v>
      </c>
      <c r="D556" s="95">
        <f t="shared" ref="D556" si="110">D557+D562+D565</f>
        <v>0</v>
      </c>
    </row>
    <row r="557" spans="1:4" ht="12" hidden="1" customHeight="1" outlineLevel="1" x14ac:dyDescent="0.25">
      <c r="A557" s="76"/>
      <c r="B557" s="77"/>
      <c r="C557" s="78" t="s">
        <v>319</v>
      </c>
      <c r="D557" s="79">
        <f t="shared" ref="D557" si="111">D558+D559+D560+D561+D563+D564</f>
        <v>0</v>
      </c>
    </row>
    <row r="558" spans="1:4" ht="12" hidden="1" customHeight="1" outlineLevel="1" x14ac:dyDescent="0.25">
      <c r="A558" s="76"/>
      <c r="B558" s="80">
        <v>1000</v>
      </c>
      <c r="C558" s="81" t="s">
        <v>102</v>
      </c>
      <c r="D558" s="82"/>
    </row>
    <row r="559" spans="1:4" ht="12" hidden="1" customHeight="1" outlineLevel="1" x14ac:dyDescent="0.25">
      <c r="A559" s="83"/>
      <c r="B559" s="84">
        <v>2000</v>
      </c>
      <c r="C559" s="85" t="s">
        <v>104</v>
      </c>
      <c r="D559" s="86"/>
    </row>
    <row r="560" spans="1:4" ht="12" hidden="1" customHeight="1" outlineLevel="1" x14ac:dyDescent="0.25">
      <c r="A560" s="83"/>
      <c r="B560" s="48">
        <v>3000</v>
      </c>
      <c r="C560" s="87" t="s">
        <v>106</v>
      </c>
      <c r="D560" s="86"/>
    </row>
    <row r="561" spans="1:4" ht="12" hidden="1" customHeight="1" outlineLevel="1" x14ac:dyDescent="0.25">
      <c r="A561" s="83"/>
      <c r="B561" s="48">
        <v>4000</v>
      </c>
      <c r="C561" s="88" t="s">
        <v>108</v>
      </c>
      <c r="D561" s="86"/>
    </row>
    <row r="562" spans="1:4" ht="12" hidden="1" customHeight="1" outlineLevel="1" x14ac:dyDescent="0.25">
      <c r="A562" s="83"/>
      <c r="B562" s="48">
        <v>5000</v>
      </c>
      <c r="C562" s="49" t="s">
        <v>110</v>
      </c>
      <c r="D562" s="89"/>
    </row>
    <row r="563" spans="1:4" ht="12" hidden="1" customHeight="1" outlineLevel="1" x14ac:dyDescent="0.25">
      <c r="A563" s="83"/>
      <c r="B563" s="48">
        <v>6000</v>
      </c>
      <c r="C563" s="49" t="s">
        <v>320</v>
      </c>
      <c r="D563" s="86"/>
    </row>
    <row r="564" spans="1:4" ht="12" hidden="1" customHeight="1" outlineLevel="1" x14ac:dyDescent="0.25">
      <c r="A564" s="83"/>
      <c r="B564" s="48">
        <v>7000</v>
      </c>
      <c r="C564" s="49" t="s">
        <v>321</v>
      </c>
      <c r="D564" s="86"/>
    </row>
    <row r="565" spans="1:4" ht="12" hidden="1" customHeight="1" outlineLevel="1" x14ac:dyDescent="0.25">
      <c r="A565" s="83"/>
      <c r="B565" s="90">
        <v>8000</v>
      </c>
      <c r="C565" s="91" t="s">
        <v>116</v>
      </c>
      <c r="D565" s="114"/>
    </row>
    <row r="566" spans="1:4" ht="12" hidden="1" customHeight="1" outlineLevel="1" x14ac:dyDescent="0.25">
      <c r="A566" s="92" t="s">
        <v>44</v>
      </c>
      <c r="B566" s="93"/>
      <c r="C566" s="94" t="s">
        <v>360</v>
      </c>
      <c r="D566" s="95">
        <f t="shared" ref="D566" si="112">D567+D572+D575</f>
        <v>0</v>
      </c>
    </row>
    <row r="567" spans="1:4" ht="12" hidden="1" customHeight="1" outlineLevel="1" x14ac:dyDescent="0.25">
      <c r="A567" s="76"/>
      <c r="B567" s="77"/>
      <c r="C567" s="78" t="s">
        <v>319</v>
      </c>
      <c r="D567" s="79">
        <f t="shared" ref="D567" si="113">D568+D569+D570+D571+D573+D574</f>
        <v>0</v>
      </c>
    </row>
    <row r="568" spans="1:4" ht="12" hidden="1" customHeight="1" outlineLevel="1" x14ac:dyDescent="0.25">
      <c r="A568" s="76"/>
      <c r="B568" s="80">
        <v>1000</v>
      </c>
      <c r="C568" s="81" t="s">
        <v>102</v>
      </c>
      <c r="D568" s="82"/>
    </row>
    <row r="569" spans="1:4" ht="12" hidden="1" customHeight="1" outlineLevel="1" x14ac:dyDescent="0.25">
      <c r="A569" s="83"/>
      <c r="B569" s="84">
        <v>2000</v>
      </c>
      <c r="C569" s="85" t="s">
        <v>104</v>
      </c>
      <c r="D569" s="86"/>
    </row>
    <row r="570" spans="1:4" ht="12" hidden="1" customHeight="1" outlineLevel="1" x14ac:dyDescent="0.25">
      <c r="A570" s="83"/>
      <c r="B570" s="48">
        <v>3000</v>
      </c>
      <c r="C570" s="87" t="s">
        <v>106</v>
      </c>
      <c r="D570" s="86"/>
    </row>
    <row r="571" spans="1:4" ht="12" hidden="1" customHeight="1" outlineLevel="1" x14ac:dyDescent="0.25">
      <c r="A571" s="83"/>
      <c r="B571" s="48">
        <v>4000</v>
      </c>
      <c r="C571" s="88" t="s">
        <v>108</v>
      </c>
      <c r="D571" s="86"/>
    </row>
    <row r="572" spans="1:4" ht="12" hidden="1" customHeight="1" outlineLevel="1" x14ac:dyDescent="0.25">
      <c r="A572" s="83"/>
      <c r="B572" s="48">
        <v>5000</v>
      </c>
      <c r="C572" s="49" t="s">
        <v>110</v>
      </c>
      <c r="D572" s="89"/>
    </row>
    <row r="573" spans="1:4" ht="12" hidden="1" customHeight="1" outlineLevel="1" x14ac:dyDescent="0.25">
      <c r="A573" s="83"/>
      <c r="B573" s="48">
        <v>6000</v>
      </c>
      <c r="C573" s="49" t="s">
        <v>320</v>
      </c>
      <c r="D573" s="86"/>
    </row>
    <row r="574" spans="1:4" ht="12" hidden="1" customHeight="1" outlineLevel="1" x14ac:dyDescent="0.25">
      <c r="A574" s="83"/>
      <c r="B574" s="48">
        <v>7000</v>
      </c>
      <c r="C574" s="49" t="s">
        <v>321</v>
      </c>
      <c r="D574" s="86"/>
    </row>
    <row r="575" spans="1:4" ht="12" hidden="1" customHeight="1" outlineLevel="1" x14ac:dyDescent="0.25">
      <c r="A575" s="83"/>
      <c r="B575" s="90">
        <v>8000</v>
      </c>
      <c r="C575" s="91" t="s">
        <v>116</v>
      </c>
      <c r="D575" s="114"/>
    </row>
    <row r="576" spans="1:4" ht="17.100000000000001" customHeight="1" collapsed="1" x14ac:dyDescent="0.25">
      <c r="A576" s="110" t="s">
        <v>207</v>
      </c>
      <c r="B576" s="111"/>
      <c r="C576" s="112" t="s">
        <v>208</v>
      </c>
      <c r="D576" s="75">
        <f t="shared" ref="D576" si="114">D577+D582+D585</f>
        <v>278747</v>
      </c>
    </row>
    <row r="577" spans="1:4" ht="12" customHeight="1" x14ac:dyDescent="0.25">
      <c r="A577" s="76"/>
      <c r="B577" s="77"/>
      <c r="C577" s="78" t="s">
        <v>319</v>
      </c>
      <c r="D577" s="79">
        <f t="shared" ref="D577" si="115">D578+D579+D580+D581+D583+D584</f>
        <v>78747</v>
      </c>
    </row>
    <row r="578" spans="1:4" ht="12" customHeight="1" x14ac:dyDescent="0.25">
      <c r="A578" s="76"/>
      <c r="B578" s="80">
        <v>1000</v>
      </c>
      <c r="C578" s="81" t="s">
        <v>102</v>
      </c>
      <c r="D578" s="82">
        <f t="shared" ref="D578:D585" si="116">D588+D598+D638+D648+D688+D678+D628</f>
        <v>4535</v>
      </c>
    </row>
    <row r="579" spans="1:4" ht="12" customHeight="1" x14ac:dyDescent="0.25">
      <c r="A579" s="83"/>
      <c r="B579" s="84">
        <v>2000</v>
      </c>
      <c r="C579" s="85" t="s">
        <v>104</v>
      </c>
      <c r="D579" s="86">
        <f t="shared" si="116"/>
        <v>74212</v>
      </c>
    </row>
    <row r="580" spans="1:4" ht="12" hidden="1" customHeight="1" outlineLevel="1" x14ac:dyDescent="0.25">
      <c r="A580" s="83"/>
      <c r="B580" s="48">
        <v>3000</v>
      </c>
      <c r="C580" s="87" t="s">
        <v>106</v>
      </c>
      <c r="D580" s="86">
        <f t="shared" si="116"/>
        <v>0</v>
      </c>
    </row>
    <row r="581" spans="1:4" ht="12" hidden="1" customHeight="1" outlineLevel="1" x14ac:dyDescent="0.25">
      <c r="A581" s="83"/>
      <c r="B581" s="48">
        <v>4000</v>
      </c>
      <c r="C581" s="88" t="s">
        <v>108</v>
      </c>
      <c r="D581" s="86">
        <f t="shared" si="116"/>
        <v>0</v>
      </c>
    </row>
    <row r="582" spans="1:4" ht="12" customHeight="1" collapsed="1" x14ac:dyDescent="0.25">
      <c r="A582" s="83"/>
      <c r="B582" s="48">
        <v>5000</v>
      </c>
      <c r="C582" s="49" t="s">
        <v>110</v>
      </c>
      <c r="D582" s="89">
        <f t="shared" si="116"/>
        <v>200000</v>
      </c>
    </row>
    <row r="583" spans="1:4" ht="12" hidden="1" customHeight="1" outlineLevel="1" x14ac:dyDescent="0.25">
      <c r="A583" s="83"/>
      <c r="B583" s="48">
        <v>6000</v>
      </c>
      <c r="C583" s="49" t="s">
        <v>320</v>
      </c>
      <c r="D583" s="86">
        <f t="shared" si="116"/>
        <v>0</v>
      </c>
    </row>
    <row r="584" spans="1:4" ht="24" hidden="1" customHeight="1" outlineLevel="1" x14ac:dyDescent="0.25">
      <c r="A584" s="83"/>
      <c r="B584" s="48">
        <v>7000</v>
      </c>
      <c r="C584" s="49" t="s">
        <v>321</v>
      </c>
      <c r="D584" s="86">
        <f t="shared" si="116"/>
        <v>0</v>
      </c>
    </row>
    <row r="585" spans="1:4" ht="12" hidden="1" customHeight="1" outlineLevel="1" x14ac:dyDescent="0.25">
      <c r="A585" s="83"/>
      <c r="B585" s="90">
        <v>8000</v>
      </c>
      <c r="C585" s="91" t="s">
        <v>116</v>
      </c>
      <c r="D585" s="89">
        <f t="shared" si="116"/>
        <v>0</v>
      </c>
    </row>
    <row r="586" spans="1:4" ht="12" customHeight="1" collapsed="1" x14ac:dyDescent="0.25">
      <c r="A586" s="92" t="s">
        <v>48</v>
      </c>
      <c r="B586" s="93"/>
      <c r="C586" s="94" t="s">
        <v>361</v>
      </c>
      <c r="D586" s="95">
        <f t="shared" ref="D586" si="117">D587+D592+D595</f>
        <v>786</v>
      </c>
    </row>
    <row r="587" spans="1:4" ht="12" customHeight="1" x14ac:dyDescent="0.25">
      <c r="A587" s="76"/>
      <c r="B587" s="77"/>
      <c r="C587" s="78" t="s">
        <v>319</v>
      </c>
      <c r="D587" s="79">
        <f t="shared" ref="D587" si="118">D588+D589+D590+D591+D593+D594</f>
        <v>786</v>
      </c>
    </row>
    <row r="588" spans="1:4" ht="12" hidden="1" customHeight="1" outlineLevel="1" x14ac:dyDescent="0.25">
      <c r="A588" s="76"/>
      <c r="B588" s="80">
        <v>1000</v>
      </c>
      <c r="C588" s="81" t="s">
        <v>102</v>
      </c>
      <c r="D588" s="82"/>
    </row>
    <row r="589" spans="1:4" ht="12" customHeight="1" collapsed="1" x14ac:dyDescent="0.25">
      <c r="A589" s="83"/>
      <c r="B589" s="84">
        <v>2000</v>
      </c>
      <c r="C589" s="85" t="s">
        <v>104</v>
      </c>
      <c r="D589" s="86">
        <f>286+500</f>
        <v>786</v>
      </c>
    </row>
    <row r="590" spans="1:4" ht="12" hidden="1" customHeight="1" outlineLevel="1" x14ac:dyDescent="0.25">
      <c r="A590" s="83"/>
      <c r="B590" s="48">
        <v>3000</v>
      </c>
      <c r="C590" s="87" t="s">
        <v>106</v>
      </c>
      <c r="D590" s="86"/>
    </row>
    <row r="591" spans="1:4" ht="12" hidden="1" customHeight="1" outlineLevel="1" x14ac:dyDescent="0.25">
      <c r="A591" s="83"/>
      <c r="B591" s="48">
        <v>4000</v>
      </c>
      <c r="C591" s="88" t="s">
        <v>108</v>
      </c>
      <c r="D591" s="86"/>
    </row>
    <row r="592" spans="1:4" ht="12" hidden="1" customHeight="1" outlineLevel="1" x14ac:dyDescent="0.25">
      <c r="A592" s="83"/>
      <c r="B592" s="48">
        <v>5000</v>
      </c>
      <c r="C592" s="49" t="s">
        <v>110</v>
      </c>
      <c r="D592" s="89"/>
    </row>
    <row r="593" spans="1:4" ht="12" hidden="1" customHeight="1" outlineLevel="1" x14ac:dyDescent="0.25">
      <c r="A593" s="83"/>
      <c r="B593" s="48">
        <v>6000</v>
      </c>
      <c r="C593" s="49" t="s">
        <v>320</v>
      </c>
      <c r="D593" s="86"/>
    </row>
    <row r="594" spans="1:4" ht="32.25" hidden="1" customHeight="1" outlineLevel="1" x14ac:dyDescent="0.25">
      <c r="A594" s="83"/>
      <c r="B594" s="48">
        <v>7000</v>
      </c>
      <c r="C594" s="49" t="s">
        <v>321</v>
      </c>
      <c r="D594" s="86"/>
    </row>
    <row r="595" spans="1:4" ht="12" hidden="1" customHeight="1" outlineLevel="1" x14ac:dyDescent="0.25">
      <c r="A595" s="83"/>
      <c r="B595" s="90">
        <v>8000</v>
      </c>
      <c r="C595" s="91" t="s">
        <v>116</v>
      </c>
      <c r="D595" s="114"/>
    </row>
    <row r="596" spans="1:4" ht="12" customHeight="1" collapsed="1" x14ac:dyDescent="0.25">
      <c r="A596" s="92" t="s">
        <v>210</v>
      </c>
      <c r="B596" s="93"/>
      <c r="C596" s="94" t="s">
        <v>362</v>
      </c>
      <c r="D596" s="95">
        <f t="shared" ref="D596" si="119">D597+D602+D605</f>
        <v>277961</v>
      </c>
    </row>
    <row r="597" spans="1:4" ht="12" customHeight="1" x14ac:dyDescent="0.25">
      <c r="A597" s="76"/>
      <c r="B597" s="77"/>
      <c r="C597" s="78" t="s">
        <v>319</v>
      </c>
      <c r="D597" s="79">
        <f t="shared" ref="D597" si="120">D598+D599+D600+D601+D603+D604</f>
        <v>77961</v>
      </c>
    </row>
    <row r="598" spans="1:4" ht="12" customHeight="1" x14ac:dyDescent="0.25">
      <c r="A598" s="76"/>
      <c r="B598" s="80">
        <v>1000</v>
      </c>
      <c r="C598" s="81" t="s">
        <v>102</v>
      </c>
      <c r="D598" s="82">
        <f t="shared" ref="D598:D605" si="121">D608+D618</f>
        <v>4535</v>
      </c>
    </row>
    <row r="599" spans="1:4" ht="12" customHeight="1" x14ac:dyDescent="0.25">
      <c r="A599" s="83"/>
      <c r="B599" s="84">
        <v>2000</v>
      </c>
      <c r="C599" s="85" t="s">
        <v>104</v>
      </c>
      <c r="D599" s="86">
        <f t="shared" si="121"/>
        <v>73426</v>
      </c>
    </row>
    <row r="600" spans="1:4" ht="12" hidden="1" customHeight="1" outlineLevel="1" x14ac:dyDescent="0.25">
      <c r="A600" s="83"/>
      <c r="B600" s="48">
        <v>3000</v>
      </c>
      <c r="C600" s="87" t="s">
        <v>106</v>
      </c>
      <c r="D600" s="86">
        <f t="shared" si="121"/>
        <v>0</v>
      </c>
    </row>
    <row r="601" spans="1:4" ht="12" hidden="1" customHeight="1" outlineLevel="1" x14ac:dyDescent="0.25">
      <c r="A601" s="83"/>
      <c r="B601" s="48">
        <v>4000</v>
      </c>
      <c r="C601" s="88" t="s">
        <v>108</v>
      </c>
      <c r="D601" s="86">
        <f t="shared" si="121"/>
        <v>0</v>
      </c>
    </row>
    <row r="602" spans="1:4" ht="12" customHeight="1" collapsed="1" x14ac:dyDescent="0.25">
      <c r="A602" s="83"/>
      <c r="B602" s="48">
        <v>5000</v>
      </c>
      <c r="C602" s="49" t="s">
        <v>110</v>
      </c>
      <c r="D602" s="89">
        <f t="shared" si="121"/>
        <v>200000</v>
      </c>
    </row>
    <row r="603" spans="1:4" ht="12" hidden="1" customHeight="1" outlineLevel="1" x14ac:dyDescent="0.25">
      <c r="A603" s="83"/>
      <c r="B603" s="48">
        <v>6000</v>
      </c>
      <c r="C603" s="49" t="s">
        <v>320</v>
      </c>
      <c r="D603" s="86">
        <f t="shared" si="121"/>
        <v>0</v>
      </c>
    </row>
    <row r="604" spans="1:4" ht="12" hidden="1" customHeight="1" outlineLevel="1" x14ac:dyDescent="0.25">
      <c r="A604" s="83"/>
      <c r="B604" s="48">
        <v>7000</v>
      </c>
      <c r="C604" s="49" t="s">
        <v>321</v>
      </c>
      <c r="D604" s="86">
        <f t="shared" si="121"/>
        <v>0</v>
      </c>
    </row>
    <row r="605" spans="1:4" ht="12" hidden="1" customHeight="1" outlineLevel="1" x14ac:dyDescent="0.25">
      <c r="A605" s="83"/>
      <c r="B605" s="90">
        <v>8000</v>
      </c>
      <c r="C605" s="91" t="s">
        <v>116</v>
      </c>
      <c r="D605" s="89">
        <f t="shared" si="121"/>
        <v>0</v>
      </c>
    </row>
    <row r="606" spans="1:4" ht="12" hidden="1" customHeight="1" outlineLevel="1" x14ac:dyDescent="0.25">
      <c r="A606" s="105" t="s">
        <v>220</v>
      </c>
      <c r="B606" s="106"/>
      <c r="C606" s="107" t="s">
        <v>221</v>
      </c>
      <c r="D606" s="108">
        <f t="shared" ref="D606" si="122">D607+D612+D615</f>
        <v>0</v>
      </c>
    </row>
    <row r="607" spans="1:4" ht="12" hidden="1" customHeight="1" outlineLevel="1" x14ac:dyDescent="0.25">
      <c r="A607" s="83"/>
      <c r="B607" s="77"/>
      <c r="C607" s="78" t="s">
        <v>319</v>
      </c>
      <c r="D607" s="79">
        <f t="shared" ref="D607" si="123">D608+D609+D610+D611+D613+D614</f>
        <v>0</v>
      </c>
    </row>
    <row r="608" spans="1:4" ht="12" hidden="1" customHeight="1" outlineLevel="1" x14ac:dyDescent="0.25">
      <c r="A608" s="83"/>
      <c r="B608" s="80">
        <v>1000</v>
      </c>
      <c r="C608" s="81" t="s">
        <v>102</v>
      </c>
      <c r="D608" s="82"/>
    </row>
    <row r="609" spans="1:4" ht="12" hidden="1" customHeight="1" outlineLevel="1" x14ac:dyDescent="0.25">
      <c r="A609" s="83"/>
      <c r="B609" s="84">
        <v>2000</v>
      </c>
      <c r="C609" s="85" t="s">
        <v>104</v>
      </c>
      <c r="D609" s="86"/>
    </row>
    <row r="610" spans="1:4" ht="12" hidden="1" customHeight="1" outlineLevel="1" x14ac:dyDescent="0.25">
      <c r="A610" s="83"/>
      <c r="B610" s="48">
        <v>3000</v>
      </c>
      <c r="C610" s="87" t="s">
        <v>106</v>
      </c>
      <c r="D610" s="86"/>
    </row>
    <row r="611" spans="1:4" ht="12" hidden="1" customHeight="1" outlineLevel="1" x14ac:dyDescent="0.25">
      <c r="A611" s="83"/>
      <c r="B611" s="48">
        <v>4000</v>
      </c>
      <c r="C611" s="88" t="s">
        <v>108</v>
      </c>
      <c r="D611" s="86"/>
    </row>
    <row r="612" spans="1:4" ht="12" hidden="1" customHeight="1" outlineLevel="1" x14ac:dyDescent="0.25">
      <c r="A612" s="83"/>
      <c r="B612" s="48">
        <v>5000</v>
      </c>
      <c r="C612" s="49" t="s">
        <v>110</v>
      </c>
      <c r="D612" s="89"/>
    </row>
    <row r="613" spans="1:4" ht="12" hidden="1" customHeight="1" outlineLevel="1" x14ac:dyDescent="0.25">
      <c r="A613" s="83"/>
      <c r="B613" s="48">
        <v>6000</v>
      </c>
      <c r="C613" s="49" t="s">
        <v>320</v>
      </c>
      <c r="D613" s="86"/>
    </row>
    <row r="614" spans="1:4" ht="12" hidden="1" customHeight="1" outlineLevel="1" x14ac:dyDescent="0.25">
      <c r="A614" s="83"/>
      <c r="B614" s="48">
        <v>7000</v>
      </c>
      <c r="C614" s="49" t="s">
        <v>321</v>
      </c>
      <c r="D614" s="86"/>
    </row>
    <row r="615" spans="1:4" ht="12" hidden="1" customHeight="1" outlineLevel="1" x14ac:dyDescent="0.25">
      <c r="A615" s="83"/>
      <c r="B615" s="90">
        <v>8000</v>
      </c>
      <c r="C615" s="91" t="s">
        <v>116</v>
      </c>
      <c r="D615" s="114"/>
    </row>
    <row r="616" spans="1:4" ht="25.5" customHeight="1" collapsed="1" x14ac:dyDescent="0.25">
      <c r="A616" s="105" t="s">
        <v>222</v>
      </c>
      <c r="B616" s="106"/>
      <c r="C616" s="115" t="s">
        <v>363</v>
      </c>
      <c r="D616" s="108">
        <f t="shared" ref="D616" si="124">D617+D622+D625</f>
        <v>277961</v>
      </c>
    </row>
    <row r="617" spans="1:4" ht="12" customHeight="1" x14ac:dyDescent="0.25">
      <c r="A617" s="76"/>
      <c r="B617" s="77"/>
      <c r="C617" s="78" t="s">
        <v>319</v>
      </c>
      <c r="D617" s="79">
        <f t="shared" ref="D617" si="125">D618+D619+D620+D621+D623+D624</f>
        <v>77961</v>
      </c>
    </row>
    <row r="618" spans="1:4" ht="12" customHeight="1" x14ac:dyDescent="0.25">
      <c r="A618" s="76"/>
      <c r="B618" s="80">
        <v>1000</v>
      </c>
      <c r="C618" s="81" t="s">
        <v>102</v>
      </c>
      <c r="D618" s="82">
        <f>3669+866</f>
        <v>4535</v>
      </c>
    </row>
    <row r="619" spans="1:4" ht="12" customHeight="1" x14ac:dyDescent="0.25">
      <c r="A619" s="83"/>
      <c r="B619" s="84">
        <v>2000</v>
      </c>
      <c r="C619" s="85" t="s">
        <v>104</v>
      </c>
      <c r="D619" s="86">
        <f>100+19+396+302+72609</f>
        <v>73426</v>
      </c>
    </row>
    <row r="620" spans="1:4" ht="12" hidden="1" customHeight="1" outlineLevel="1" x14ac:dyDescent="0.25">
      <c r="A620" s="83"/>
      <c r="B620" s="48">
        <v>3000</v>
      </c>
      <c r="C620" s="87" t="s">
        <v>106</v>
      </c>
      <c r="D620" s="86"/>
    </row>
    <row r="621" spans="1:4" ht="12" hidden="1" customHeight="1" outlineLevel="1" x14ac:dyDescent="0.25">
      <c r="A621" s="83"/>
      <c r="B621" s="48">
        <v>4000</v>
      </c>
      <c r="C621" s="88" t="s">
        <v>108</v>
      </c>
      <c r="D621" s="86"/>
    </row>
    <row r="622" spans="1:4" ht="12" customHeight="1" collapsed="1" x14ac:dyDescent="0.25">
      <c r="A622" s="83"/>
      <c r="B622" s="48">
        <v>5000</v>
      </c>
      <c r="C622" s="49" t="s">
        <v>110</v>
      </c>
      <c r="D622" s="89">
        <v>200000</v>
      </c>
    </row>
    <row r="623" spans="1:4" ht="12" hidden="1" customHeight="1" outlineLevel="1" x14ac:dyDescent="0.25">
      <c r="A623" s="83"/>
      <c r="B623" s="48">
        <v>6000</v>
      </c>
      <c r="C623" s="49" t="s">
        <v>320</v>
      </c>
      <c r="D623" s="86"/>
    </row>
    <row r="624" spans="1:4" ht="12" hidden="1" customHeight="1" outlineLevel="1" x14ac:dyDescent="0.25">
      <c r="A624" s="83"/>
      <c r="B624" s="48">
        <v>7000</v>
      </c>
      <c r="C624" s="49" t="s">
        <v>321</v>
      </c>
      <c r="D624" s="86"/>
    </row>
    <row r="625" spans="1:4" ht="12" hidden="1" customHeight="1" outlineLevel="1" x14ac:dyDescent="0.25">
      <c r="A625" s="83"/>
      <c r="B625" s="90">
        <v>8000</v>
      </c>
      <c r="C625" s="91" t="s">
        <v>116</v>
      </c>
      <c r="D625" s="114"/>
    </row>
    <row r="626" spans="1:4" ht="12" hidden="1" customHeight="1" outlineLevel="1" x14ac:dyDescent="0.25">
      <c r="A626" s="92" t="s">
        <v>364</v>
      </c>
      <c r="B626" s="93"/>
      <c r="C626" s="94" t="s">
        <v>365</v>
      </c>
      <c r="D626" s="95">
        <f t="shared" ref="D626" si="126">D627+D632+D635</f>
        <v>0</v>
      </c>
    </row>
    <row r="627" spans="1:4" ht="12" hidden="1" customHeight="1" outlineLevel="1" x14ac:dyDescent="0.25">
      <c r="A627" s="76"/>
      <c r="B627" s="77"/>
      <c r="C627" s="78" t="s">
        <v>319</v>
      </c>
      <c r="D627" s="79">
        <f t="shared" ref="D627" si="127">D628+D629+D630+D631+D633+D634</f>
        <v>0</v>
      </c>
    </row>
    <row r="628" spans="1:4" ht="12" hidden="1" customHeight="1" outlineLevel="1" x14ac:dyDescent="0.25">
      <c r="A628" s="76"/>
      <c r="B628" s="80">
        <v>1000</v>
      </c>
      <c r="C628" s="81" t="s">
        <v>102</v>
      </c>
      <c r="D628" s="82"/>
    </row>
    <row r="629" spans="1:4" ht="12" hidden="1" customHeight="1" outlineLevel="1" x14ac:dyDescent="0.25">
      <c r="A629" s="83"/>
      <c r="B629" s="84">
        <v>2000</v>
      </c>
      <c r="C629" s="85" t="s">
        <v>104</v>
      </c>
      <c r="D629" s="86"/>
    </row>
    <row r="630" spans="1:4" ht="12" hidden="1" customHeight="1" outlineLevel="1" x14ac:dyDescent="0.25">
      <c r="A630" s="83"/>
      <c r="B630" s="48">
        <v>3000</v>
      </c>
      <c r="C630" s="87" t="s">
        <v>106</v>
      </c>
      <c r="D630" s="86"/>
    </row>
    <row r="631" spans="1:4" ht="12" hidden="1" customHeight="1" outlineLevel="1" x14ac:dyDescent="0.25">
      <c r="A631" s="83"/>
      <c r="B631" s="48">
        <v>4000</v>
      </c>
      <c r="C631" s="88" t="s">
        <v>108</v>
      </c>
      <c r="D631" s="86"/>
    </row>
    <row r="632" spans="1:4" ht="12" hidden="1" customHeight="1" outlineLevel="1" x14ac:dyDescent="0.25">
      <c r="A632" s="83"/>
      <c r="B632" s="48">
        <v>5000</v>
      </c>
      <c r="C632" s="49" t="s">
        <v>110</v>
      </c>
      <c r="D632" s="89"/>
    </row>
    <row r="633" spans="1:4" ht="12" hidden="1" customHeight="1" outlineLevel="1" x14ac:dyDescent="0.25">
      <c r="A633" s="83"/>
      <c r="B633" s="48">
        <v>6000</v>
      </c>
      <c r="C633" s="49" t="s">
        <v>320</v>
      </c>
      <c r="D633" s="86"/>
    </row>
    <row r="634" spans="1:4" ht="12" hidden="1" customHeight="1" outlineLevel="1" x14ac:dyDescent="0.25">
      <c r="A634" s="83"/>
      <c r="B634" s="48">
        <v>7000</v>
      </c>
      <c r="C634" s="49" t="s">
        <v>321</v>
      </c>
      <c r="D634" s="86"/>
    </row>
    <row r="635" spans="1:4" ht="12" hidden="1" customHeight="1" outlineLevel="1" x14ac:dyDescent="0.25">
      <c r="A635" s="83"/>
      <c r="B635" s="90">
        <v>8000</v>
      </c>
      <c r="C635" s="91" t="s">
        <v>116</v>
      </c>
      <c r="D635" s="114"/>
    </row>
    <row r="636" spans="1:4" ht="14.25" hidden="1" customHeight="1" outlineLevel="1" x14ac:dyDescent="0.25">
      <c r="A636" s="92" t="s">
        <v>226</v>
      </c>
      <c r="B636" s="93"/>
      <c r="C636" s="94" t="s">
        <v>366</v>
      </c>
      <c r="D636" s="95">
        <f t="shared" ref="D636" si="128">D637+D642+D645</f>
        <v>0</v>
      </c>
    </row>
    <row r="637" spans="1:4" ht="12" hidden="1" customHeight="1" outlineLevel="1" x14ac:dyDescent="0.25">
      <c r="A637" s="76"/>
      <c r="B637" s="77"/>
      <c r="C637" s="78" t="s">
        <v>319</v>
      </c>
      <c r="D637" s="79">
        <f t="shared" ref="D637" si="129">D638+D639+D640+D641+D643+D644</f>
        <v>0</v>
      </c>
    </row>
    <row r="638" spans="1:4" ht="12" hidden="1" customHeight="1" outlineLevel="1" x14ac:dyDescent="0.25">
      <c r="A638" s="76"/>
      <c r="B638" s="80">
        <v>1000</v>
      </c>
      <c r="C638" s="81" t="s">
        <v>102</v>
      </c>
      <c r="D638" s="82"/>
    </row>
    <row r="639" spans="1:4" ht="12" hidden="1" customHeight="1" outlineLevel="1" x14ac:dyDescent="0.25">
      <c r="A639" s="83"/>
      <c r="B639" s="84">
        <v>2000</v>
      </c>
      <c r="C639" s="85" t="s">
        <v>104</v>
      </c>
      <c r="D639" s="86"/>
    </row>
    <row r="640" spans="1:4" ht="12" hidden="1" customHeight="1" outlineLevel="1" x14ac:dyDescent="0.25">
      <c r="A640" s="83"/>
      <c r="B640" s="48">
        <v>3000</v>
      </c>
      <c r="C640" s="87" t="s">
        <v>106</v>
      </c>
      <c r="D640" s="86"/>
    </row>
    <row r="641" spans="1:4" ht="12" hidden="1" customHeight="1" outlineLevel="1" x14ac:dyDescent="0.25">
      <c r="A641" s="83"/>
      <c r="B641" s="48">
        <v>4000</v>
      </c>
      <c r="C641" s="88" t="s">
        <v>108</v>
      </c>
      <c r="D641" s="86"/>
    </row>
    <row r="642" spans="1:4" ht="12" hidden="1" customHeight="1" outlineLevel="1" x14ac:dyDescent="0.25">
      <c r="A642" s="83"/>
      <c r="B642" s="48">
        <v>5000</v>
      </c>
      <c r="C642" s="49" t="s">
        <v>110</v>
      </c>
      <c r="D642" s="89"/>
    </row>
    <row r="643" spans="1:4" ht="12" hidden="1" customHeight="1" outlineLevel="1" x14ac:dyDescent="0.25">
      <c r="A643" s="83"/>
      <c r="B643" s="48">
        <v>6000</v>
      </c>
      <c r="C643" s="49" t="s">
        <v>320</v>
      </c>
      <c r="D643" s="86"/>
    </row>
    <row r="644" spans="1:4" ht="12" hidden="1" customHeight="1" outlineLevel="1" x14ac:dyDescent="0.25">
      <c r="A644" s="83"/>
      <c r="B644" s="48">
        <v>7000</v>
      </c>
      <c r="C644" s="49" t="s">
        <v>321</v>
      </c>
      <c r="D644" s="86"/>
    </row>
    <row r="645" spans="1:4" ht="12" hidden="1" customHeight="1" outlineLevel="1" x14ac:dyDescent="0.25">
      <c r="A645" s="83"/>
      <c r="B645" s="90">
        <v>8000</v>
      </c>
      <c r="C645" s="91" t="s">
        <v>116</v>
      </c>
      <c r="D645" s="114"/>
    </row>
    <row r="646" spans="1:4" ht="12" hidden="1" customHeight="1" outlineLevel="1" collapsed="1" x14ac:dyDescent="0.25">
      <c r="A646" s="92" t="s">
        <v>52</v>
      </c>
      <c r="B646" s="93"/>
      <c r="C646" s="94" t="s">
        <v>367</v>
      </c>
      <c r="D646" s="95">
        <f t="shared" ref="D646" si="130">D647+D652+D655</f>
        <v>0</v>
      </c>
    </row>
    <row r="647" spans="1:4" ht="12" hidden="1" customHeight="1" outlineLevel="1" x14ac:dyDescent="0.25">
      <c r="A647" s="76"/>
      <c r="B647" s="77"/>
      <c r="C647" s="78" t="s">
        <v>319</v>
      </c>
      <c r="D647" s="79">
        <f t="shared" ref="D647" si="131">D648+D649+D650+D651+D653+D654</f>
        <v>0</v>
      </c>
    </row>
    <row r="648" spans="1:4" ht="12" hidden="1" customHeight="1" outlineLevel="1" x14ac:dyDescent="0.25">
      <c r="A648" s="76"/>
      <c r="B648" s="80">
        <v>1000</v>
      </c>
      <c r="C648" s="81" t="s">
        <v>102</v>
      </c>
      <c r="D648" s="82">
        <f t="shared" ref="D648:D655" si="132">D658+D668</f>
        <v>0</v>
      </c>
    </row>
    <row r="649" spans="1:4" ht="12" customHeight="1" collapsed="1" x14ac:dyDescent="0.25">
      <c r="A649" s="83"/>
      <c r="B649" s="84">
        <v>2000</v>
      </c>
      <c r="C649" s="85" t="s">
        <v>104</v>
      </c>
      <c r="D649" s="86">
        <f t="shared" si="132"/>
        <v>0</v>
      </c>
    </row>
    <row r="650" spans="1:4" ht="12" hidden="1" customHeight="1" outlineLevel="1" x14ac:dyDescent="0.25">
      <c r="A650" s="83"/>
      <c r="B650" s="48">
        <v>3000</v>
      </c>
      <c r="C650" s="87" t="s">
        <v>106</v>
      </c>
      <c r="D650" s="86">
        <f t="shared" si="132"/>
        <v>0</v>
      </c>
    </row>
    <row r="651" spans="1:4" ht="12" hidden="1" customHeight="1" outlineLevel="1" x14ac:dyDescent="0.25">
      <c r="A651" s="83"/>
      <c r="B651" s="48">
        <v>4000</v>
      </c>
      <c r="C651" s="88" t="s">
        <v>108</v>
      </c>
      <c r="D651" s="86">
        <f t="shared" si="132"/>
        <v>0</v>
      </c>
    </row>
    <row r="652" spans="1:4" ht="12" hidden="1" customHeight="1" outlineLevel="1" x14ac:dyDescent="0.25">
      <c r="A652" s="83"/>
      <c r="B652" s="48">
        <v>5000</v>
      </c>
      <c r="C652" s="49" t="s">
        <v>110</v>
      </c>
      <c r="D652" s="89">
        <f t="shared" si="132"/>
        <v>0</v>
      </c>
    </row>
    <row r="653" spans="1:4" ht="12" hidden="1" customHeight="1" outlineLevel="1" x14ac:dyDescent="0.25">
      <c r="A653" s="83"/>
      <c r="B653" s="48">
        <v>6000</v>
      </c>
      <c r="C653" s="49" t="s">
        <v>320</v>
      </c>
      <c r="D653" s="86">
        <f t="shared" si="132"/>
        <v>0</v>
      </c>
    </row>
    <row r="654" spans="1:4" ht="12" hidden="1" customHeight="1" outlineLevel="1" x14ac:dyDescent="0.25">
      <c r="A654" s="83"/>
      <c r="B654" s="48">
        <v>7000</v>
      </c>
      <c r="C654" s="49" t="s">
        <v>321</v>
      </c>
      <c r="D654" s="86">
        <f t="shared" si="132"/>
        <v>0</v>
      </c>
    </row>
    <row r="655" spans="1:4" ht="12" hidden="1" customHeight="1" outlineLevel="1" x14ac:dyDescent="0.25">
      <c r="A655" s="83"/>
      <c r="B655" s="90">
        <v>8000</v>
      </c>
      <c r="C655" s="91" t="s">
        <v>116</v>
      </c>
      <c r="D655" s="114">
        <f t="shared" si="132"/>
        <v>0</v>
      </c>
    </row>
    <row r="656" spans="1:4" ht="12" customHeight="1" collapsed="1" x14ac:dyDescent="0.25">
      <c r="A656" s="105" t="s">
        <v>229</v>
      </c>
      <c r="B656" s="106"/>
      <c r="C656" s="107" t="s">
        <v>368</v>
      </c>
      <c r="D656" s="108">
        <f t="shared" ref="D656" si="133">D657+D662+D665</f>
        <v>0</v>
      </c>
    </row>
    <row r="657" spans="1:4" ht="12" customHeight="1" x14ac:dyDescent="0.25">
      <c r="A657" s="83"/>
      <c r="B657" s="77"/>
      <c r="C657" s="78" t="s">
        <v>319</v>
      </c>
      <c r="D657" s="79">
        <f t="shared" ref="D657" si="134">D658+D659+D660+D661+D663+D664</f>
        <v>0</v>
      </c>
    </row>
    <row r="658" spans="1:4" ht="12" hidden="1" customHeight="1" outlineLevel="1" x14ac:dyDescent="0.25">
      <c r="A658" s="83"/>
      <c r="B658" s="80">
        <v>1000</v>
      </c>
      <c r="C658" s="81" t="s">
        <v>102</v>
      </c>
      <c r="D658" s="82"/>
    </row>
    <row r="659" spans="1:4" ht="12" customHeight="1" collapsed="1" x14ac:dyDescent="0.25">
      <c r="A659" s="83"/>
      <c r="B659" s="84">
        <v>2000</v>
      </c>
      <c r="C659" s="85" t="s">
        <v>104</v>
      </c>
      <c r="D659" s="86"/>
    </row>
    <row r="660" spans="1:4" ht="11.25" hidden="1" customHeight="1" outlineLevel="1" x14ac:dyDescent="0.25">
      <c r="A660" s="83"/>
      <c r="B660" s="48">
        <v>3000</v>
      </c>
      <c r="C660" s="87" t="s">
        <v>106</v>
      </c>
      <c r="D660" s="86"/>
    </row>
    <row r="661" spans="1:4" ht="12" hidden="1" customHeight="1" outlineLevel="1" x14ac:dyDescent="0.25">
      <c r="A661" s="83"/>
      <c r="B661" s="48">
        <v>4000</v>
      </c>
      <c r="C661" s="88" t="s">
        <v>108</v>
      </c>
      <c r="D661" s="86"/>
    </row>
    <row r="662" spans="1:4" ht="12" hidden="1" customHeight="1" outlineLevel="1" x14ac:dyDescent="0.25">
      <c r="A662" s="83"/>
      <c r="B662" s="48">
        <v>5000</v>
      </c>
      <c r="C662" s="49" t="s">
        <v>110</v>
      </c>
      <c r="D662" s="89"/>
    </row>
    <row r="663" spans="1:4" ht="12" hidden="1" customHeight="1" outlineLevel="1" x14ac:dyDescent="0.25">
      <c r="A663" s="83"/>
      <c r="B663" s="48">
        <v>6000</v>
      </c>
      <c r="C663" s="49" t="s">
        <v>320</v>
      </c>
      <c r="D663" s="86"/>
    </row>
    <row r="664" spans="1:4" ht="12" hidden="1" customHeight="1" outlineLevel="1" x14ac:dyDescent="0.25">
      <c r="A664" s="83"/>
      <c r="B664" s="48">
        <v>7000</v>
      </c>
      <c r="C664" s="49" t="s">
        <v>321</v>
      </c>
      <c r="D664" s="86"/>
    </row>
    <row r="665" spans="1:4" ht="12" hidden="1" customHeight="1" outlineLevel="1" x14ac:dyDescent="0.25">
      <c r="A665" s="83"/>
      <c r="B665" s="90">
        <v>8000</v>
      </c>
      <c r="C665" s="91" t="s">
        <v>116</v>
      </c>
      <c r="D665" s="114"/>
    </row>
    <row r="666" spans="1:4" ht="12" hidden="1" customHeight="1" outlineLevel="1" x14ac:dyDescent="0.25">
      <c r="A666" s="105" t="s">
        <v>369</v>
      </c>
      <c r="B666" s="106"/>
      <c r="C666" s="107" t="s">
        <v>370</v>
      </c>
      <c r="D666" s="108">
        <f t="shared" ref="D666" si="135">D667+D672+D675</f>
        <v>0</v>
      </c>
    </row>
    <row r="667" spans="1:4" ht="12" hidden="1" customHeight="1" outlineLevel="1" x14ac:dyDescent="0.25">
      <c r="A667" s="83"/>
      <c r="B667" s="77"/>
      <c r="C667" s="78" t="s">
        <v>319</v>
      </c>
      <c r="D667" s="79">
        <f t="shared" ref="D667" si="136">D668+D669+D670+D671+D673+D674</f>
        <v>0</v>
      </c>
    </row>
    <row r="668" spans="1:4" ht="12" hidden="1" customHeight="1" outlineLevel="1" x14ac:dyDescent="0.25">
      <c r="A668" s="83"/>
      <c r="B668" s="80">
        <v>1000</v>
      </c>
      <c r="C668" s="81" t="s">
        <v>102</v>
      </c>
      <c r="D668" s="82"/>
    </row>
    <row r="669" spans="1:4" ht="12" hidden="1" customHeight="1" outlineLevel="1" x14ac:dyDescent="0.25">
      <c r="A669" s="83"/>
      <c r="B669" s="84">
        <v>2000</v>
      </c>
      <c r="C669" s="85" t="s">
        <v>104</v>
      </c>
      <c r="D669" s="86"/>
    </row>
    <row r="670" spans="1:4" ht="12" hidden="1" customHeight="1" outlineLevel="1" x14ac:dyDescent="0.25">
      <c r="A670" s="83"/>
      <c r="B670" s="48">
        <v>3000</v>
      </c>
      <c r="C670" s="87" t="s">
        <v>106</v>
      </c>
      <c r="D670" s="86"/>
    </row>
    <row r="671" spans="1:4" ht="12" hidden="1" customHeight="1" outlineLevel="1" x14ac:dyDescent="0.25">
      <c r="A671" s="83"/>
      <c r="B671" s="48">
        <v>4000</v>
      </c>
      <c r="C671" s="88" t="s">
        <v>108</v>
      </c>
      <c r="D671" s="86"/>
    </row>
    <row r="672" spans="1:4" ht="12" hidden="1" customHeight="1" outlineLevel="1" x14ac:dyDescent="0.25">
      <c r="A672" s="83"/>
      <c r="B672" s="48">
        <v>5000</v>
      </c>
      <c r="C672" s="49" t="s">
        <v>110</v>
      </c>
      <c r="D672" s="89"/>
    </row>
    <row r="673" spans="1:4" ht="12" hidden="1" customHeight="1" outlineLevel="1" x14ac:dyDescent="0.25">
      <c r="A673" s="83"/>
      <c r="B673" s="48">
        <v>6000</v>
      </c>
      <c r="C673" s="49" t="s">
        <v>320</v>
      </c>
      <c r="D673" s="86"/>
    </row>
    <row r="674" spans="1:4" ht="12" hidden="1" customHeight="1" outlineLevel="1" x14ac:dyDescent="0.25">
      <c r="A674" s="83"/>
      <c r="B674" s="48">
        <v>7000</v>
      </c>
      <c r="C674" s="49" t="s">
        <v>321</v>
      </c>
      <c r="D674" s="86"/>
    </row>
    <row r="675" spans="1:4" ht="12" hidden="1" customHeight="1" outlineLevel="1" x14ac:dyDescent="0.25">
      <c r="A675" s="83"/>
      <c r="B675" s="90">
        <v>8000</v>
      </c>
      <c r="C675" s="91" t="s">
        <v>116</v>
      </c>
      <c r="D675" s="114"/>
    </row>
    <row r="676" spans="1:4" ht="12" hidden="1" customHeight="1" outlineLevel="1" x14ac:dyDescent="0.25">
      <c r="A676" s="92" t="s">
        <v>231</v>
      </c>
      <c r="B676" s="93"/>
      <c r="C676" s="94" t="s">
        <v>232</v>
      </c>
      <c r="D676" s="95">
        <f t="shared" ref="D676" si="137">D677+D682+D685</f>
        <v>0</v>
      </c>
    </row>
    <row r="677" spans="1:4" ht="12" hidden="1" customHeight="1" outlineLevel="1" x14ac:dyDescent="0.25">
      <c r="A677" s="76"/>
      <c r="B677" s="77"/>
      <c r="C677" s="78" t="s">
        <v>319</v>
      </c>
      <c r="D677" s="79">
        <f t="shared" ref="D677" si="138">D678+D679+D680+D681+D683+D684</f>
        <v>0</v>
      </c>
    </row>
    <row r="678" spans="1:4" ht="12" hidden="1" customHeight="1" outlineLevel="1" x14ac:dyDescent="0.25">
      <c r="A678" s="76"/>
      <c r="B678" s="80">
        <v>1000</v>
      </c>
      <c r="C678" s="81" t="s">
        <v>102</v>
      </c>
      <c r="D678" s="82"/>
    </row>
    <row r="679" spans="1:4" ht="12" hidden="1" customHeight="1" outlineLevel="1" x14ac:dyDescent="0.25">
      <c r="A679" s="83"/>
      <c r="B679" s="84">
        <v>2000</v>
      </c>
      <c r="C679" s="85" t="s">
        <v>104</v>
      </c>
      <c r="D679" s="86"/>
    </row>
    <row r="680" spans="1:4" ht="12" hidden="1" customHeight="1" outlineLevel="1" x14ac:dyDescent="0.25">
      <c r="A680" s="83"/>
      <c r="B680" s="48">
        <v>3000</v>
      </c>
      <c r="C680" s="87" t="s">
        <v>106</v>
      </c>
      <c r="D680" s="86"/>
    </row>
    <row r="681" spans="1:4" ht="12" hidden="1" customHeight="1" outlineLevel="1" x14ac:dyDescent="0.25">
      <c r="A681" s="83"/>
      <c r="B681" s="48">
        <v>4000</v>
      </c>
      <c r="C681" s="88" t="s">
        <v>108</v>
      </c>
      <c r="D681" s="86"/>
    </row>
    <row r="682" spans="1:4" ht="12" hidden="1" customHeight="1" outlineLevel="1" x14ac:dyDescent="0.25">
      <c r="A682" s="83"/>
      <c r="B682" s="48">
        <v>5000</v>
      </c>
      <c r="C682" s="49" t="s">
        <v>110</v>
      </c>
      <c r="D682" s="89"/>
    </row>
    <row r="683" spans="1:4" ht="12" hidden="1" customHeight="1" outlineLevel="1" x14ac:dyDescent="0.25">
      <c r="A683" s="83"/>
      <c r="B683" s="48">
        <v>6000</v>
      </c>
      <c r="C683" s="49" t="s">
        <v>320</v>
      </c>
      <c r="D683" s="86"/>
    </row>
    <row r="684" spans="1:4" ht="12" hidden="1" customHeight="1" outlineLevel="1" x14ac:dyDescent="0.25">
      <c r="A684" s="83"/>
      <c r="B684" s="48">
        <v>7000</v>
      </c>
      <c r="C684" s="49" t="s">
        <v>321</v>
      </c>
      <c r="D684" s="86"/>
    </row>
    <row r="685" spans="1:4" ht="12" hidden="1" customHeight="1" outlineLevel="1" x14ac:dyDescent="0.25">
      <c r="A685" s="83"/>
      <c r="B685" s="90">
        <v>8000</v>
      </c>
      <c r="C685" s="91" t="s">
        <v>116</v>
      </c>
      <c r="D685" s="114"/>
    </row>
    <row r="686" spans="1:4" ht="12" hidden="1" customHeight="1" outlineLevel="1" x14ac:dyDescent="0.25">
      <c r="A686" s="92" t="s">
        <v>241</v>
      </c>
      <c r="B686" s="93"/>
      <c r="C686" s="94" t="s">
        <v>242</v>
      </c>
      <c r="D686" s="95">
        <f t="shared" ref="D686" si="139">D687+D692+D695</f>
        <v>0</v>
      </c>
    </row>
    <row r="687" spans="1:4" ht="12" hidden="1" customHeight="1" outlineLevel="1" x14ac:dyDescent="0.25">
      <c r="A687" s="76"/>
      <c r="B687" s="77"/>
      <c r="C687" s="78" t="s">
        <v>319</v>
      </c>
      <c r="D687" s="79">
        <f t="shared" ref="D687" si="140">D688+D689+D690+D691+D693+D694</f>
        <v>0</v>
      </c>
    </row>
    <row r="688" spans="1:4" ht="12" hidden="1" customHeight="1" outlineLevel="1" x14ac:dyDescent="0.25">
      <c r="A688" s="76"/>
      <c r="B688" s="80">
        <v>1000</v>
      </c>
      <c r="C688" s="81" t="s">
        <v>102</v>
      </c>
      <c r="D688" s="82">
        <f t="shared" ref="D688:D695" si="141">D698+D708</f>
        <v>0</v>
      </c>
    </row>
    <row r="689" spans="1:4" ht="12" hidden="1" customHeight="1" outlineLevel="1" x14ac:dyDescent="0.25">
      <c r="A689" s="83"/>
      <c r="B689" s="84">
        <v>2000</v>
      </c>
      <c r="C689" s="85" t="s">
        <v>104</v>
      </c>
      <c r="D689" s="86">
        <f t="shared" si="141"/>
        <v>0</v>
      </c>
    </row>
    <row r="690" spans="1:4" ht="12" hidden="1" customHeight="1" outlineLevel="1" x14ac:dyDescent="0.25">
      <c r="A690" s="83"/>
      <c r="B690" s="48">
        <v>3000</v>
      </c>
      <c r="C690" s="87" t="s">
        <v>106</v>
      </c>
      <c r="D690" s="86">
        <f t="shared" si="141"/>
        <v>0</v>
      </c>
    </row>
    <row r="691" spans="1:4" ht="12" hidden="1" customHeight="1" outlineLevel="1" x14ac:dyDescent="0.25">
      <c r="A691" s="83"/>
      <c r="B691" s="48">
        <v>4000</v>
      </c>
      <c r="C691" s="88" t="s">
        <v>108</v>
      </c>
      <c r="D691" s="86">
        <f t="shared" si="141"/>
        <v>0</v>
      </c>
    </row>
    <row r="692" spans="1:4" ht="12" hidden="1" customHeight="1" outlineLevel="1" x14ac:dyDescent="0.25">
      <c r="A692" s="83"/>
      <c r="B692" s="48">
        <v>5000</v>
      </c>
      <c r="C692" s="49" t="s">
        <v>110</v>
      </c>
      <c r="D692" s="89">
        <f t="shared" si="141"/>
        <v>0</v>
      </c>
    </row>
    <row r="693" spans="1:4" ht="12" hidden="1" customHeight="1" outlineLevel="1" x14ac:dyDescent="0.25">
      <c r="A693" s="83"/>
      <c r="B693" s="48">
        <v>6000</v>
      </c>
      <c r="C693" s="49" t="s">
        <v>320</v>
      </c>
      <c r="D693" s="86">
        <f t="shared" si="141"/>
        <v>0</v>
      </c>
    </row>
    <row r="694" spans="1:4" ht="12" hidden="1" customHeight="1" outlineLevel="1" x14ac:dyDescent="0.25">
      <c r="A694" s="83"/>
      <c r="B694" s="48">
        <v>7000</v>
      </c>
      <c r="C694" s="49" t="s">
        <v>321</v>
      </c>
      <c r="D694" s="86">
        <f t="shared" si="141"/>
        <v>0</v>
      </c>
    </row>
    <row r="695" spans="1:4" ht="12" hidden="1" customHeight="1" outlineLevel="1" x14ac:dyDescent="0.25">
      <c r="A695" s="83"/>
      <c r="B695" s="90">
        <v>8000</v>
      </c>
      <c r="C695" s="91" t="s">
        <v>116</v>
      </c>
      <c r="D695" s="89">
        <f t="shared" si="141"/>
        <v>0</v>
      </c>
    </row>
    <row r="696" spans="1:4" ht="12" hidden="1" customHeight="1" outlineLevel="1" x14ac:dyDescent="0.25">
      <c r="A696" s="105" t="s">
        <v>243</v>
      </c>
      <c r="B696" s="106"/>
      <c r="C696" s="107" t="s">
        <v>244</v>
      </c>
      <c r="D696" s="108">
        <f t="shared" ref="D696" si="142">D697+D702+D705</f>
        <v>0</v>
      </c>
    </row>
    <row r="697" spans="1:4" ht="12" hidden="1" customHeight="1" outlineLevel="1" x14ac:dyDescent="0.25">
      <c r="A697" s="76"/>
      <c r="B697" s="77"/>
      <c r="C697" s="78" t="s">
        <v>319</v>
      </c>
      <c r="D697" s="79">
        <f t="shared" ref="D697" si="143">D698+D699+D700+D701+D703+D704</f>
        <v>0</v>
      </c>
    </row>
    <row r="698" spans="1:4" ht="12" hidden="1" customHeight="1" outlineLevel="1" x14ac:dyDescent="0.25">
      <c r="A698" s="76"/>
      <c r="B698" s="80">
        <v>1000</v>
      </c>
      <c r="C698" s="81" t="s">
        <v>102</v>
      </c>
      <c r="D698" s="82"/>
    </row>
    <row r="699" spans="1:4" ht="12" hidden="1" customHeight="1" outlineLevel="1" x14ac:dyDescent="0.25">
      <c r="A699" s="83"/>
      <c r="B699" s="84">
        <v>2000</v>
      </c>
      <c r="C699" s="85" t="s">
        <v>104</v>
      </c>
      <c r="D699" s="86"/>
    </row>
    <row r="700" spans="1:4" ht="12" hidden="1" customHeight="1" outlineLevel="1" x14ac:dyDescent="0.25">
      <c r="A700" s="83"/>
      <c r="B700" s="48">
        <v>3000</v>
      </c>
      <c r="C700" s="87" t="s">
        <v>106</v>
      </c>
      <c r="D700" s="86"/>
    </row>
    <row r="701" spans="1:4" ht="12" hidden="1" customHeight="1" outlineLevel="1" x14ac:dyDescent="0.25">
      <c r="A701" s="83"/>
      <c r="B701" s="48">
        <v>4000</v>
      </c>
      <c r="C701" s="88" t="s">
        <v>108</v>
      </c>
      <c r="D701" s="86"/>
    </row>
    <row r="702" spans="1:4" ht="12" hidden="1" customHeight="1" outlineLevel="1" x14ac:dyDescent="0.25">
      <c r="A702" s="83"/>
      <c r="B702" s="48">
        <v>5000</v>
      </c>
      <c r="C702" s="49" t="s">
        <v>110</v>
      </c>
      <c r="D702" s="89"/>
    </row>
    <row r="703" spans="1:4" ht="12" hidden="1" customHeight="1" outlineLevel="1" x14ac:dyDescent="0.25">
      <c r="A703" s="83"/>
      <c r="B703" s="48">
        <v>6000</v>
      </c>
      <c r="C703" s="49" t="s">
        <v>320</v>
      </c>
      <c r="D703" s="86"/>
    </row>
    <row r="704" spans="1:4" ht="12" hidden="1" customHeight="1" outlineLevel="1" x14ac:dyDescent="0.25">
      <c r="A704" s="83"/>
      <c r="B704" s="48">
        <v>7000</v>
      </c>
      <c r="C704" s="49" t="s">
        <v>321</v>
      </c>
      <c r="D704" s="86"/>
    </row>
    <row r="705" spans="1:4" ht="12" hidden="1" customHeight="1" outlineLevel="1" x14ac:dyDescent="0.25">
      <c r="A705" s="83"/>
      <c r="B705" s="90">
        <v>8000</v>
      </c>
      <c r="C705" s="91" t="s">
        <v>116</v>
      </c>
      <c r="D705" s="114"/>
    </row>
    <row r="706" spans="1:4" ht="12" hidden="1" customHeight="1" outlineLevel="1" x14ac:dyDescent="0.25">
      <c r="A706" s="105" t="s">
        <v>245</v>
      </c>
      <c r="B706" s="106"/>
      <c r="C706" s="107" t="s">
        <v>371</v>
      </c>
      <c r="D706" s="108">
        <f t="shared" ref="D706" si="144">D707+D712+D715</f>
        <v>0</v>
      </c>
    </row>
    <row r="707" spans="1:4" ht="12" hidden="1" customHeight="1" outlineLevel="1" x14ac:dyDescent="0.25">
      <c r="A707" s="76"/>
      <c r="B707" s="77"/>
      <c r="C707" s="78" t="s">
        <v>319</v>
      </c>
      <c r="D707" s="79">
        <f t="shared" ref="D707" si="145">D708+D709+D710+D711+D713+D714</f>
        <v>0</v>
      </c>
    </row>
    <row r="708" spans="1:4" ht="12" hidden="1" customHeight="1" outlineLevel="1" x14ac:dyDescent="0.25">
      <c r="A708" s="76"/>
      <c r="B708" s="80">
        <v>1000</v>
      </c>
      <c r="C708" s="81" t="s">
        <v>102</v>
      </c>
      <c r="D708" s="82"/>
    </row>
    <row r="709" spans="1:4" ht="12" hidden="1" customHeight="1" outlineLevel="1" x14ac:dyDescent="0.25">
      <c r="A709" s="83"/>
      <c r="B709" s="84">
        <v>2000</v>
      </c>
      <c r="C709" s="85" t="s">
        <v>104</v>
      </c>
      <c r="D709" s="86"/>
    </row>
    <row r="710" spans="1:4" ht="12" hidden="1" customHeight="1" outlineLevel="1" x14ac:dyDescent="0.25">
      <c r="A710" s="83"/>
      <c r="B710" s="48">
        <v>3000</v>
      </c>
      <c r="C710" s="87" t="s">
        <v>106</v>
      </c>
      <c r="D710" s="86"/>
    </row>
    <row r="711" spans="1:4" ht="12" hidden="1" customHeight="1" outlineLevel="1" x14ac:dyDescent="0.25">
      <c r="A711" s="83"/>
      <c r="B711" s="48">
        <v>4000</v>
      </c>
      <c r="C711" s="88" t="s">
        <v>108</v>
      </c>
      <c r="D711" s="86"/>
    </row>
    <row r="712" spans="1:4" ht="12" hidden="1" customHeight="1" outlineLevel="1" x14ac:dyDescent="0.25">
      <c r="A712" s="83"/>
      <c r="B712" s="48">
        <v>5000</v>
      </c>
      <c r="C712" s="49" t="s">
        <v>110</v>
      </c>
      <c r="D712" s="89"/>
    </row>
    <row r="713" spans="1:4" ht="12" hidden="1" customHeight="1" outlineLevel="1" x14ac:dyDescent="0.25">
      <c r="A713" s="83"/>
      <c r="B713" s="48">
        <v>6000</v>
      </c>
      <c r="C713" s="49" t="s">
        <v>320</v>
      </c>
      <c r="D713" s="86"/>
    </row>
    <row r="714" spans="1:4" ht="12" hidden="1" customHeight="1" outlineLevel="1" x14ac:dyDescent="0.25">
      <c r="A714" s="83"/>
      <c r="B714" s="48">
        <v>7000</v>
      </c>
      <c r="C714" s="49" t="s">
        <v>321</v>
      </c>
      <c r="D714" s="86"/>
    </row>
    <row r="715" spans="1:4" ht="12" hidden="1" customHeight="1" outlineLevel="1" x14ac:dyDescent="0.25">
      <c r="A715" s="83"/>
      <c r="B715" s="90">
        <v>8000</v>
      </c>
      <c r="C715" s="91" t="s">
        <v>116</v>
      </c>
      <c r="D715" s="114"/>
    </row>
    <row r="716" spans="1:4" ht="17.100000000000001" hidden="1" customHeight="1" outlineLevel="1" x14ac:dyDescent="0.25">
      <c r="A716" s="110" t="s">
        <v>247</v>
      </c>
      <c r="B716" s="111"/>
      <c r="C716" s="112" t="s">
        <v>248</v>
      </c>
      <c r="D716" s="75">
        <f t="shared" ref="D716" si="146">D717+D722+D725</f>
        <v>26850</v>
      </c>
    </row>
    <row r="717" spans="1:4" ht="12" hidden="1" customHeight="1" outlineLevel="1" x14ac:dyDescent="0.25">
      <c r="A717" s="76"/>
      <c r="B717" s="77"/>
      <c r="C717" s="78" t="s">
        <v>319</v>
      </c>
      <c r="D717" s="79">
        <f t="shared" ref="D717" si="147">D718+D719+D720+D721+D723+D724</f>
        <v>26850</v>
      </c>
    </row>
    <row r="718" spans="1:4" ht="12" hidden="1" customHeight="1" outlineLevel="1" x14ac:dyDescent="0.25">
      <c r="A718" s="76"/>
      <c r="B718" s="80">
        <v>1000</v>
      </c>
      <c r="C718" s="81" t="s">
        <v>102</v>
      </c>
      <c r="D718" s="82">
        <f t="shared" ref="D718:D725" si="148">D728+D738+D748+D758+D768+D778</f>
        <v>0</v>
      </c>
    </row>
    <row r="719" spans="1:4" ht="12" hidden="1" customHeight="1" outlineLevel="1" x14ac:dyDescent="0.25">
      <c r="A719" s="83"/>
      <c r="B719" s="84">
        <v>2000</v>
      </c>
      <c r="C719" s="85" t="s">
        <v>104</v>
      </c>
      <c r="D719" s="86">
        <f t="shared" si="148"/>
        <v>26250</v>
      </c>
    </row>
    <row r="720" spans="1:4" ht="12" hidden="1" customHeight="1" outlineLevel="1" x14ac:dyDescent="0.25">
      <c r="A720" s="83"/>
      <c r="B720" s="48">
        <v>3000</v>
      </c>
      <c r="C720" s="87" t="s">
        <v>106</v>
      </c>
      <c r="D720" s="86">
        <f t="shared" si="148"/>
        <v>600</v>
      </c>
    </row>
    <row r="721" spans="1:4" ht="12" hidden="1" customHeight="1" outlineLevel="1" x14ac:dyDescent="0.25">
      <c r="A721" s="83"/>
      <c r="B721" s="48">
        <v>4000</v>
      </c>
      <c r="C721" s="88" t="s">
        <v>108</v>
      </c>
      <c r="D721" s="86">
        <f t="shared" si="148"/>
        <v>0</v>
      </c>
    </row>
    <row r="722" spans="1:4" ht="12" hidden="1" customHeight="1" outlineLevel="1" x14ac:dyDescent="0.25">
      <c r="A722" s="83"/>
      <c r="B722" s="48">
        <v>5000</v>
      </c>
      <c r="C722" s="49" t="s">
        <v>110</v>
      </c>
      <c r="D722" s="89">
        <f t="shared" si="148"/>
        <v>0</v>
      </c>
    </row>
    <row r="723" spans="1:4" ht="12" hidden="1" customHeight="1" outlineLevel="1" x14ac:dyDescent="0.25">
      <c r="A723" s="83"/>
      <c r="B723" s="48">
        <v>6000</v>
      </c>
      <c r="C723" s="49" t="s">
        <v>320</v>
      </c>
      <c r="D723" s="86">
        <f t="shared" si="148"/>
        <v>0</v>
      </c>
    </row>
    <row r="724" spans="1:4" ht="12" hidden="1" customHeight="1" outlineLevel="1" x14ac:dyDescent="0.25">
      <c r="A724" s="83"/>
      <c r="B724" s="48">
        <v>7000</v>
      </c>
      <c r="C724" s="49" t="s">
        <v>321</v>
      </c>
      <c r="D724" s="86">
        <f t="shared" si="148"/>
        <v>0</v>
      </c>
    </row>
    <row r="725" spans="1:4" ht="12" hidden="1" customHeight="1" outlineLevel="1" x14ac:dyDescent="0.25">
      <c r="A725" s="83"/>
      <c r="B725" s="90">
        <v>8000</v>
      </c>
      <c r="C725" s="91" t="s">
        <v>116</v>
      </c>
      <c r="D725" s="89">
        <f t="shared" si="148"/>
        <v>0</v>
      </c>
    </row>
    <row r="726" spans="1:4" ht="12" hidden="1" customHeight="1" outlineLevel="1" x14ac:dyDescent="0.25">
      <c r="A726" s="116">
        <v>10.1</v>
      </c>
      <c r="B726" s="93"/>
      <c r="C726" s="94" t="s">
        <v>249</v>
      </c>
      <c r="D726" s="95">
        <f t="shared" ref="D726" si="149">D727+D732+D735</f>
        <v>0</v>
      </c>
    </row>
    <row r="727" spans="1:4" ht="12" hidden="1" customHeight="1" outlineLevel="1" x14ac:dyDescent="0.25">
      <c r="A727" s="83"/>
      <c r="B727" s="77"/>
      <c r="C727" s="78" t="s">
        <v>319</v>
      </c>
      <c r="D727" s="79">
        <f t="shared" ref="D727" si="150">D728+D729+D730+D731+D733+D734</f>
        <v>0</v>
      </c>
    </row>
    <row r="728" spans="1:4" ht="12" hidden="1" customHeight="1" outlineLevel="1" x14ac:dyDescent="0.25">
      <c r="A728" s="83"/>
      <c r="B728" s="80">
        <v>1000</v>
      </c>
      <c r="C728" s="81" t="s">
        <v>102</v>
      </c>
      <c r="D728" s="82"/>
    </row>
    <row r="729" spans="1:4" ht="12" hidden="1" customHeight="1" outlineLevel="1" x14ac:dyDescent="0.25">
      <c r="A729" s="83"/>
      <c r="B729" s="84">
        <v>2000</v>
      </c>
      <c r="C729" s="85" t="s">
        <v>104</v>
      </c>
      <c r="D729" s="86"/>
    </row>
    <row r="730" spans="1:4" ht="12" hidden="1" customHeight="1" outlineLevel="1" x14ac:dyDescent="0.25">
      <c r="A730" s="83"/>
      <c r="B730" s="48">
        <v>3000</v>
      </c>
      <c r="C730" s="87" t="s">
        <v>106</v>
      </c>
      <c r="D730" s="86"/>
    </row>
    <row r="731" spans="1:4" ht="12" hidden="1" customHeight="1" outlineLevel="1" x14ac:dyDescent="0.25">
      <c r="A731" s="83"/>
      <c r="B731" s="48">
        <v>4000</v>
      </c>
      <c r="C731" s="88" t="s">
        <v>108</v>
      </c>
      <c r="D731" s="86"/>
    </row>
    <row r="732" spans="1:4" ht="12" hidden="1" customHeight="1" outlineLevel="1" x14ac:dyDescent="0.25">
      <c r="A732" s="83"/>
      <c r="B732" s="48">
        <v>5000</v>
      </c>
      <c r="C732" s="49" t="s">
        <v>110</v>
      </c>
      <c r="D732" s="89"/>
    </row>
    <row r="733" spans="1:4" ht="12" hidden="1" customHeight="1" outlineLevel="1" x14ac:dyDescent="0.25">
      <c r="A733" s="83"/>
      <c r="B733" s="48">
        <v>6000</v>
      </c>
      <c r="C733" s="49" t="s">
        <v>320</v>
      </c>
      <c r="D733" s="86"/>
    </row>
    <row r="734" spans="1:4" ht="12" hidden="1" customHeight="1" outlineLevel="1" x14ac:dyDescent="0.25">
      <c r="A734" s="83"/>
      <c r="B734" s="48">
        <v>7000</v>
      </c>
      <c r="C734" s="49" t="s">
        <v>321</v>
      </c>
      <c r="D734" s="86"/>
    </row>
    <row r="735" spans="1:4" ht="12" hidden="1" customHeight="1" outlineLevel="1" x14ac:dyDescent="0.25">
      <c r="A735" s="83"/>
      <c r="B735" s="90">
        <v>8000</v>
      </c>
      <c r="C735" s="91" t="s">
        <v>116</v>
      </c>
      <c r="D735" s="114"/>
    </row>
    <row r="736" spans="1:4" ht="12" hidden="1" customHeight="1" outlineLevel="1" x14ac:dyDescent="0.25">
      <c r="A736" s="92" t="s">
        <v>250</v>
      </c>
      <c r="B736" s="93"/>
      <c r="C736" s="94" t="s">
        <v>372</v>
      </c>
      <c r="D736" s="95">
        <f t="shared" ref="D736" si="151">D737+D742+D745</f>
        <v>0</v>
      </c>
    </row>
    <row r="737" spans="1:4" ht="12" hidden="1" customHeight="1" outlineLevel="1" x14ac:dyDescent="0.25">
      <c r="A737" s="76"/>
      <c r="B737" s="77"/>
      <c r="C737" s="78" t="s">
        <v>319</v>
      </c>
      <c r="D737" s="79">
        <f t="shared" ref="D737" si="152">D738+D739+D740+D741+D743+D744</f>
        <v>0</v>
      </c>
    </row>
    <row r="738" spans="1:4" ht="12" hidden="1" customHeight="1" outlineLevel="1" x14ac:dyDescent="0.25">
      <c r="A738" s="76"/>
      <c r="B738" s="80">
        <v>1000</v>
      </c>
      <c r="C738" s="81" t="s">
        <v>102</v>
      </c>
      <c r="D738" s="82"/>
    </row>
    <row r="739" spans="1:4" ht="12" hidden="1" customHeight="1" outlineLevel="1" x14ac:dyDescent="0.25">
      <c r="A739" s="83"/>
      <c r="B739" s="84">
        <v>2000</v>
      </c>
      <c r="C739" s="85" t="s">
        <v>104</v>
      </c>
      <c r="D739" s="86"/>
    </row>
    <row r="740" spans="1:4" ht="12" hidden="1" customHeight="1" outlineLevel="1" x14ac:dyDescent="0.25">
      <c r="A740" s="83"/>
      <c r="B740" s="48">
        <v>3000</v>
      </c>
      <c r="C740" s="87" t="s">
        <v>106</v>
      </c>
      <c r="D740" s="86"/>
    </row>
    <row r="741" spans="1:4" ht="12" hidden="1" customHeight="1" outlineLevel="1" x14ac:dyDescent="0.25">
      <c r="A741" s="83"/>
      <c r="B741" s="48">
        <v>4000</v>
      </c>
      <c r="C741" s="88" t="s">
        <v>108</v>
      </c>
      <c r="D741" s="86"/>
    </row>
    <row r="742" spans="1:4" ht="12" hidden="1" customHeight="1" outlineLevel="1" x14ac:dyDescent="0.25">
      <c r="A742" s="83"/>
      <c r="B742" s="48">
        <v>5000</v>
      </c>
      <c r="C742" s="49" t="s">
        <v>110</v>
      </c>
      <c r="D742" s="89"/>
    </row>
    <row r="743" spans="1:4" ht="12" hidden="1" customHeight="1" outlineLevel="1" x14ac:dyDescent="0.25">
      <c r="A743" s="83"/>
      <c r="B743" s="48">
        <v>6000</v>
      </c>
      <c r="C743" s="49" t="s">
        <v>320</v>
      </c>
      <c r="D743" s="86"/>
    </row>
    <row r="744" spans="1:4" ht="12" hidden="1" customHeight="1" outlineLevel="1" x14ac:dyDescent="0.25">
      <c r="A744" s="83"/>
      <c r="B744" s="48">
        <v>7000</v>
      </c>
      <c r="C744" s="49" t="s">
        <v>321</v>
      </c>
      <c r="D744" s="86"/>
    </row>
    <row r="745" spans="1:4" ht="12" hidden="1" customHeight="1" outlineLevel="1" x14ac:dyDescent="0.25">
      <c r="A745" s="83"/>
      <c r="B745" s="90">
        <v>8000</v>
      </c>
      <c r="C745" s="91" t="s">
        <v>116</v>
      </c>
      <c r="D745" s="114"/>
    </row>
    <row r="746" spans="1:4" ht="12" customHeight="1" collapsed="1" x14ac:dyDescent="0.25">
      <c r="A746" s="92" t="s">
        <v>252</v>
      </c>
      <c r="B746" s="93"/>
      <c r="C746" s="94" t="s">
        <v>253</v>
      </c>
      <c r="D746" s="95">
        <f t="shared" ref="D746" si="153">D747+D752+D755</f>
        <v>4093</v>
      </c>
    </row>
    <row r="747" spans="1:4" ht="12" customHeight="1" x14ac:dyDescent="0.25">
      <c r="A747" s="76"/>
      <c r="B747" s="77"/>
      <c r="C747" s="78" t="s">
        <v>319</v>
      </c>
      <c r="D747" s="79">
        <f t="shared" ref="D747" si="154">D748+D749+D750+D751+D753+D754</f>
        <v>4093</v>
      </c>
    </row>
    <row r="748" spans="1:4" ht="12" customHeight="1" x14ac:dyDescent="0.25">
      <c r="A748" s="76"/>
      <c r="B748" s="80">
        <v>1000</v>
      </c>
      <c r="C748" s="81" t="s">
        <v>102</v>
      </c>
      <c r="D748" s="82"/>
    </row>
    <row r="749" spans="1:4" ht="12" customHeight="1" x14ac:dyDescent="0.25">
      <c r="A749" s="83"/>
      <c r="B749" s="84">
        <v>2000</v>
      </c>
      <c r="C749" s="85" t="s">
        <v>104</v>
      </c>
      <c r="D749" s="86">
        <f>2698+795</f>
        <v>3493</v>
      </c>
    </row>
    <row r="750" spans="1:4" ht="12" customHeight="1" x14ac:dyDescent="0.25">
      <c r="A750" s="83"/>
      <c r="B750" s="48">
        <v>3000</v>
      </c>
      <c r="C750" s="87" t="s">
        <v>106</v>
      </c>
      <c r="D750" s="86">
        <v>600</v>
      </c>
    </row>
    <row r="751" spans="1:4" ht="12" hidden="1" customHeight="1" outlineLevel="1" x14ac:dyDescent="0.25">
      <c r="A751" s="83"/>
      <c r="B751" s="48">
        <v>4000</v>
      </c>
      <c r="C751" s="88" t="s">
        <v>108</v>
      </c>
      <c r="D751" s="86"/>
    </row>
    <row r="752" spans="1:4" ht="12" hidden="1" customHeight="1" outlineLevel="1" x14ac:dyDescent="0.25">
      <c r="A752" s="83"/>
      <c r="B752" s="48">
        <v>5000</v>
      </c>
      <c r="C752" s="49" t="s">
        <v>110</v>
      </c>
      <c r="D752" s="89"/>
    </row>
    <row r="753" spans="1:4" ht="12" hidden="1" customHeight="1" outlineLevel="1" x14ac:dyDescent="0.25">
      <c r="A753" s="83"/>
      <c r="B753" s="48">
        <v>6000</v>
      </c>
      <c r="C753" s="49" t="s">
        <v>320</v>
      </c>
      <c r="D753" s="86"/>
    </row>
    <row r="754" spans="1:4" ht="12" hidden="1" customHeight="1" outlineLevel="1" x14ac:dyDescent="0.25">
      <c r="A754" s="83"/>
      <c r="B754" s="48">
        <v>7000</v>
      </c>
      <c r="C754" s="49" t="s">
        <v>321</v>
      </c>
      <c r="D754" s="86"/>
    </row>
    <row r="755" spans="1:4" ht="12" hidden="1" customHeight="1" outlineLevel="1" x14ac:dyDescent="0.25">
      <c r="A755" s="83"/>
      <c r="B755" s="90">
        <v>8000</v>
      </c>
      <c r="C755" s="91" t="s">
        <v>116</v>
      </c>
      <c r="D755" s="114"/>
    </row>
    <row r="756" spans="1:4" ht="12" hidden="1" customHeight="1" outlineLevel="1" x14ac:dyDescent="0.25">
      <c r="A756" s="116">
        <v>10.6</v>
      </c>
      <c r="B756" s="93"/>
      <c r="C756" s="94" t="s">
        <v>373</v>
      </c>
      <c r="D756" s="95">
        <f t="shared" ref="D756" si="155">D757+D762+D765</f>
        <v>0</v>
      </c>
    </row>
    <row r="757" spans="1:4" ht="12" hidden="1" customHeight="1" outlineLevel="1" x14ac:dyDescent="0.25">
      <c r="A757" s="76"/>
      <c r="B757" s="77"/>
      <c r="C757" s="78" t="s">
        <v>319</v>
      </c>
      <c r="D757" s="79">
        <f t="shared" ref="D757" si="156">D758+D759+D760+D761+D763+D764</f>
        <v>0</v>
      </c>
    </row>
    <row r="758" spans="1:4" ht="12" hidden="1" customHeight="1" outlineLevel="1" x14ac:dyDescent="0.25">
      <c r="A758" s="76"/>
      <c r="B758" s="80">
        <v>1000</v>
      </c>
      <c r="C758" s="81" t="s">
        <v>102</v>
      </c>
      <c r="D758" s="82"/>
    </row>
    <row r="759" spans="1:4" ht="12" hidden="1" customHeight="1" outlineLevel="1" x14ac:dyDescent="0.25">
      <c r="A759" s="83"/>
      <c r="B759" s="84">
        <v>2000</v>
      </c>
      <c r="C759" s="85" t="s">
        <v>104</v>
      </c>
      <c r="D759" s="86"/>
    </row>
    <row r="760" spans="1:4" ht="12" hidden="1" customHeight="1" outlineLevel="1" x14ac:dyDescent="0.25">
      <c r="A760" s="83"/>
      <c r="B760" s="48">
        <v>3000</v>
      </c>
      <c r="C760" s="87" t="s">
        <v>106</v>
      </c>
      <c r="D760" s="86"/>
    </row>
    <row r="761" spans="1:4" ht="12" hidden="1" customHeight="1" outlineLevel="1" x14ac:dyDescent="0.25">
      <c r="A761" s="83"/>
      <c r="B761" s="48">
        <v>4000</v>
      </c>
      <c r="C761" s="88" t="s">
        <v>108</v>
      </c>
      <c r="D761" s="86"/>
    </row>
    <row r="762" spans="1:4" ht="12" hidden="1" customHeight="1" outlineLevel="1" x14ac:dyDescent="0.25">
      <c r="A762" s="83"/>
      <c r="B762" s="48">
        <v>5000</v>
      </c>
      <c r="C762" s="49" t="s">
        <v>110</v>
      </c>
      <c r="D762" s="89"/>
    </row>
    <row r="763" spans="1:4" ht="12" hidden="1" customHeight="1" outlineLevel="1" x14ac:dyDescent="0.25">
      <c r="A763" s="83"/>
      <c r="B763" s="48">
        <v>6000</v>
      </c>
      <c r="C763" s="49" t="s">
        <v>320</v>
      </c>
      <c r="D763" s="86"/>
    </row>
    <row r="764" spans="1:4" ht="12" hidden="1" customHeight="1" outlineLevel="1" x14ac:dyDescent="0.25">
      <c r="A764" s="83"/>
      <c r="B764" s="48">
        <v>7000</v>
      </c>
      <c r="C764" s="49" t="s">
        <v>321</v>
      </c>
      <c r="D764" s="86"/>
    </row>
    <row r="765" spans="1:4" ht="12" hidden="1" customHeight="1" outlineLevel="1" x14ac:dyDescent="0.25">
      <c r="A765" s="83"/>
      <c r="B765" s="90">
        <v>8000</v>
      </c>
      <c r="C765" s="91" t="s">
        <v>116</v>
      </c>
      <c r="D765" s="114"/>
    </row>
    <row r="766" spans="1:4" ht="12" hidden="1" customHeight="1" outlineLevel="1" x14ac:dyDescent="0.25">
      <c r="A766" s="116">
        <v>10.7</v>
      </c>
      <c r="B766" s="93"/>
      <c r="C766" s="94" t="s">
        <v>374</v>
      </c>
      <c r="D766" s="95">
        <f t="shared" ref="D766" si="157">D767+D772+D775</f>
        <v>0</v>
      </c>
    </row>
    <row r="767" spans="1:4" ht="12" hidden="1" customHeight="1" outlineLevel="1" x14ac:dyDescent="0.25">
      <c r="A767" s="76"/>
      <c r="B767" s="77"/>
      <c r="C767" s="78" t="s">
        <v>319</v>
      </c>
      <c r="D767" s="79">
        <f t="shared" ref="D767" si="158">D768+D769+D770+D771+D773+D774</f>
        <v>0</v>
      </c>
    </row>
    <row r="768" spans="1:4" ht="12" hidden="1" customHeight="1" outlineLevel="1" x14ac:dyDescent="0.25">
      <c r="A768" s="76"/>
      <c r="B768" s="80">
        <v>1000</v>
      </c>
      <c r="C768" s="81" t="s">
        <v>102</v>
      </c>
      <c r="D768" s="82"/>
    </row>
    <row r="769" spans="1:4" ht="12" hidden="1" customHeight="1" outlineLevel="1" x14ac:dyDescent="0.25">
      <c r="A769" s="83"/>
      <c r="B769" s="84">
        <v>2000</v>
      </c>
      <c r="C769" s="85" t="s">
        <v>104</v>
      </c>
      <c r="D769" s="86"/>
    </row>
    <row r="770" spans="1:4" ht="12" hidden="1" customHeight="1" outlineLevel="1" x14ac:dyDescent="0.25">
      <c r="A770" s="83"/>
      <c r="B770" s="48">
        <v>3000</v>
      </c>
      <c r="C770" s="87" t="s">
        <v>106</v>
      </c>
      <c r="D770" s="86"/>
    </row>
    <row r="771" spans="1:4" ht="12" hidden="1" customHeight="1" outlineLevel="1" x14ac:dyDescent="0.25">
      <c r="A771" s="83"/>
      <c r="B771" s="48">
        <v>4000</v>
      </c>
      <c r="C771" s="88" t="s">
        <v>108</v>
      </c>
      <c r="D771" s="86"/>
    </row>
    <row r="772" spans="1:4" ht="12" hidden="1" customHeight="1" outlineLevel="1" x14ac:dyDescent="0.25">
      <c r="A772" s="83"/>
      <c r="B772" s="48">
        <v>5000</v>
      </c>
      <c r="C772" s="49" t="s">
        <v>110</v>
      </c>
      <c r="D772" s="89"/>
    </row>
    <row r="773" spans="1:4" ht="12" hidden="1" customHeight="1" outlineLevel="1" x14ac:dyDescent="0.25">
      <c r="A773" s="83"/>
      <c r="B773" s="48">
        <v>6000</v>
      </c>
      <c r="C773" s="49" t="s">
        <v>320</v>
      </c>
      <c r="D773" s="86"/>
    </row>
    <row r="774" spans="1:4" ht="12" hidden="1" customHeight="1" outlineLevel="1" x14ac:dyDescent="0.25">
      <c r="A774" s="83"/>
      <c r="B774" s="48">
        <v>7000</v>
      </c>
      <c r="C774" s="49" t="s">
        <v>321</v>
      </c>
      <c r="D774" s="86"/>
    </row>
    <row r="775" spans="1:4" ht="12" hidden="1" customHeight="1" outlineLevel="1" x14ac:dyDescent="0.25">
      <c r="A775" s="83"/>
      <c r="B775" s="90">
        <v>8000</v>
      </c>
      <c r="C775" s="91" t="s">
        <v>116</v>
      </c>
      <c r="D775" s="114"/>
    </row>
    <row r="776" spans="1:4" ht="12" customHeight="1" collapsed="1" x14ac:dyDescent="0.25">
      <c r="A776" s="116">
        <v>10.9</v>
      </c>
      <c r="B776" s="93"/>
      <c r="C776" s="94" t="s">
        <v>375</v>
      </c>
      <c r="D776" s="95">
        <f t="shared" ref="D776" si="159">D777+D782+D785</f>
        <v>22757</v>
      </c>
    </row>
    <row r="777" spans="1:4" ht="12" customHeight="1" x14ac:dyDescent="0.25">
      <c r="A777" s="76"/>
      <c r="B777" s="77"/>
      <c r="C777" s="78" t="s">
        <v>319</v>
      </c>
      <c r="D777" s="79">
        <f t="shared" ref="D777" si="160">D778+D779+D780+D781+D783+D784</f>
        <v>22757</v>
      </c>
    </row>
    <row r="778" spans="1:4" ht="12" customHeight="1" x14ac:dyDescent="0.25">
      <c r="A778" s="76"/>
      <c r="B778" s="80">
        <v>1000</v>
      </c>
      <c r="C778" s="81" t="s">
        <v>102</v>
      </c>
      <c r="D778" s="82"/>
    </row>
    <row r="779" spans="1:4" ht="12" customHeight="1" x14ac:dyDescent="0.25">
      <c r="A779" s="83"/>
      <c r="B779" s="84">
        <v>2000</v>
      </c>
      <c r="C779" s="85" t="s">
        <v>104</v>
      </c>
      <c r="D779" s="86">
        <v>22757</v>
      </c>
    </row>
    <row r="780" spans="1:4" ht="12" hidden="1" customHeight="1" outlineLevel="1" x14ac:dyDescent="0.25">
      <c r="A780" s="83"/>
      <c r="B780" s="48">
        <v>3000</v>
      </c>
      <c r="C780" s="87" t="s">
        <v>106</v>
      </c>
      <c r="D780" s="86"/>
    </row>
    <row r="781" spans="1:4" ht="12" hidden="1" customHeight="1" outlineLevel="1" x14ac:dyDescent="0.25">
      <c r="A781" s="83"/>
      <c r="B781" s="48">
        <v>4000</v>
      </c>
      <c r="C781" s="88" t="s">
        <v>108</v>
      </c>
      <c r="D781" s="86"/>
    </row>
    <row r="782" spans="1:4" ht="12" hidden="1" customHeight="1" outlineLevel="1" x14ac:dyDescent="0.25">
      <c r="A782" s="83"/>
      <c r="B782" s="48">
        <v>5000</v>
      </c>
      <c r="C782" s="49" t="s">
        <v>110</v>
      </c>
      <c r="D782" s="89"/>
    </row>
    <row r="783" spans="1:4" ht="12" hidden="1" customHeight="1" outlineLevel="1" x14ac:dyDescent="0.25">
      <c r="A783" s="83"/>
      <c r="B783" s="48">
        <v>6000</v>
      </c>
      <c r="C783" s="49" t="s">
        <v>320</v>
      </c>
      <c r="D783" s="86"/>
    </row>
    <row r="784" spans="1:4" ht="12" hidden="1" customHeight="1" outlineLevel="1" x14ac:dyDescent="0.25">
      <c r="A784" s="83"/>
      <c r="B784" s="48">
        <v>7000</v>
      </c>
      <c r="C784" s="49" t="s">
        <v>321</v>
      </c>
      <c r="D784" s="86"/>
    </row>
    <row r="785" spans="1:4" ht="12" hidden="1" customHeight="1" outlineLevel="1" x14ac:dyDescent="0.25">
      <c r="A785" s="83"/>
      <c r="B785" s="90">
        <v>8000</v>
      </c>
      <c r="C785" s="91" t="s">
        <v>116</v>
      </c>
      <c r="D785" s="114"/>
    </row>
    <row r="786" spans="1:4" ht="17.100000000000001" customHeight="1" collapsed="1" x14ac:dyDescent="0.25">
      <c r="A786" s="117"/>
      <c r="B786" s="118" t="s">
        <v>376</v>
      </c>
      <c r="C786" s="119"/>
      <c r="D786" s="71">
        <f t="shared" ref="D786" si="161">D787+D792+D795</f>
        <v>319085</v>
      </c>
    </row>
    <row r="787" spans="1:4" ht="12" customHeight="1" x14ac:dyDescent="0.25">
      <c r="A787" s="76"/>
      <c r="B787" s="77"/>
      <c r="C787" s="78" t="s">
        <v>319</v>
      </c>
      <c r="D787" s="120">
        <f t="shared" ref="D787" si="162">D788+D789+D790+D791+D793+D794</f>
        <v>113422</v>
      </c>
    </row>
    <row r="788" spans="1:4" ht="12" customHeight="1" x14ac:dyDescent="0.25">
      <c r="A788" s="76"/>
      <c r="B788" s="80">
        <v>1000</v>
      </c>
      <c r="C788" s="81" t="s">
        <v>102</v>
      </c>
      <c r="D788" s="121">
        <f t="shared" ref="D788:D795" si="163">D58+D138+D188+D308+D378+D438+D478+D578+D718</f>
        <v>4535</v>
      </c>
    </row>
    <row r="789" spans="1:4" ht="12" customHeight="1" x14ac:dyDescent="0.25">
      <c r="A789" s="83"/>
      <c r="B789" s="84">
        <v>2000</v>
      </c>
      <c r="C789" s="85" t="s">
        <v>104</v>
      </c>
      <c r="D789" s="121">
        <f t="shared" si="163"/>
        <v>108287</v>
      </c>
    </row>
    <row r="790" spans="1:4" ht="12" hidden="1" customHeight="1" outlineLevel="1" x14ac:dyDescent="0.25">
      <c r="A790" s="83"/>
      <c r="B790" s="48">
        <v>3000</v>
      </c>
      <c r="C790" s="87" t="s">
        <v>106</v>
      </c>
      <c r="D790" s="121">
        <f t="shared" si="163"/>
        <v>600</v>
      </c>
    </row>
    <row r="791" spans="1:4" ht="12" hidden="1" customHeight="1" outlineLevel="1" x14ac:dyDescent="0.25">
      <c r="A791" s="83"/>
      <c r="B791" s="48">
        <v>4000</v>
      </c>
      <c r="C791" s="88" t="s">
        <v>108</v>
      </c>
      <c r="D791" s="121">
        <f t="shared" si="163"/>
        <v>0</v>
      </c>
    </row>
    <row r="792" spans="1:4" ht="12" customHeight="1" collapsed="1" x14ac:dyDescent="0.25">
      <c r="A792" s="83"/>
      <c r="B792" s="48">
        <v>5000</v>
      </c>
      <c r="C792" s="49" t="s">
        <v>110</v>
      </c>
      <c r="D792" s="121">
        <f t="shared" si="163"/>
        <v>205663</v>
      </c>
    </row>
    <row r="793" spans="1:4" ht="12" hidden="1" customHeight="1" outlineLevel="1" x14ac:dyDescent="0.25">
      <c r="A793" s="83"/>
      <c r="B793" s="48">
        <v>6000</v>
      </c>
      <c r="C793" s="49" t="s">
        <v>320</v>
      </c>
      <c r="D793" s="121">
        <f t="shared" si="163"/>
        <v>0</v>
      </c>
    </row>
    <row r="794" spans="1:4" ht="12" hidden="1" customHeight="1" outlineLevel="1" x14ac:dyDescent="0.25">
      <c r="A794" s="83"/>
      <c r="B794" s="48">
        <v>7000</v>
      </c>
      <c r="C794" s="49" t="s">
        <v>321</v>
      </c>
      <c r="D794" s="121">
        <f t="shared" si="163"/>
        <v>0</v>
      </c>
    </row>
    <row r="795" spans="1:4" ht="12" hidden="1" customHeight="1" outlineLevel="1" x14ac:dyDescent="0.25">
      <c r="A795" s="83"/>
      <c r="B795" s="90">
        <v>8000</v>
      </c>
      <c r="C795" s="91" t="s">
        <v>116</v>
      </c>
      <c r="D795" s="121">
        <f t="shared" si="163"/>
        <v>0</v>
      </c>
    </row>
    <row r="796" spans="1:4" ht="17.100000000000001" hidden="1" customHeight="1" outlineLevel="1" x14ac:dyDescent="0.25">
      <c r="A796" s="117"/>
      <c r="B796" s="122"/>
      <c r="C796" s="119" t="s">
        <v>377</v>
      </c>
      <c r="D796" s="123">
        <f t="shared" ref="D796" si="164">D797+D800+D803</f>
        <v>0</v>
      </c>
    </row>
    <row r="797" spans="1:4" ht="12" hidden="1" customHeight="1" outlineLevel="1" x14ac:dyDescent="0.25">
      <c r="A797" s="83"/>
      <c r="B797" s="48">
        <v>9700</v>
      </c>
      <c r="C797" s="49" t="s">
        <v>378</v>
      </c>
      <c r="D797" s="50">
        <f t="shared" ref="D797" si="165">SUM(D798:D799)</f>
        <v>0</v>
      </c>
    </row>
    <row r="798" spans="1:4" ht="12" hidden="1" customHeight="1" outlineLevel="1" x14ac:dyDescent="0.25">
      <c r="A798" s="83"/>
      <c r="B798" s="124" t="s">
        <v>379</v>
      </c>
      <c r="C798" s="125" t="s">
        <v>380</v>
      </c>
      <c r="D798" s="126"/>
    </row>
    <row r="799" spans="1:4" ht="12" hidden="1" customHeight="1" outlineLevel="1" x14ac:dyDescent="0.25">
      <c r="A799" s="83"/>
      <c r="B799" s="124" t="s">
        <v>381</v>
      </c>
      <c r="C799" s="125" t="s">
        <v>382</v>
      </c>
      <c r="D799" s="126"/>
    </row>
    <row r="800" spans="1:4" ht="12" hidden="1" customHeight="1" outlineLevel="1" x14ac:dyDescent="0.25">
      <c r="A800" s="127"/>
      <c r="B800" s="48">
        <v>9800</v>
      </c>
      <c r="C800" s="49" t="s">
        <v>383</v>
      </c>
      <c r="D800" s="50">
        <f t="shared" ref="D800" si="166">SUM(D801:D802)</f>
        <v>0</v>
      </c>
    </row>
    <row r="801" spans="1:4" ht="12" hidden="1" customHeight="1" outlineLevel="1" x14ac:dyDescent="0.25">
      <c r="A801" s="127"/>
      <c r="B801" s="128">
        <v>9810</v>
      </c>
      <c r="C801" s="53" t="s">
        <v>384</v>
      </c>
      <c r="D801" s="126"/>
    </row>
    <row r="802" spans="1:4" ht="12" hidden="1" customHeight="1" outlineLevel="1" x14ac:dyDescent="0.25">
      <c r="A802" s="127"/>
      <c r="B802" s="128">
        <v>9820</v>
      </c>
      <c r="C802" s="53" t="s">
        <v>385</v>
      </c>
      <c r="D802" s="126"/>
    </row>
    <row r="803" spans="1:4" ht="12" hidden="1" customHeight="1" outlineLevel="1" collapsed="1" x14ac:dyDescent="0.25">
      <c r="A803" s="127"/>
      <c r="B803" s="48">
        <v>9900</v>
      </c>
      <c r="C803" s="49" t="s">
        <v>386</v>
      </c>
      <c r="D803" s="50">
        <f t="shared" ref="D803" si="167">SUM(D804:D806)</f>
        <v>0</v>
      </c>
    </row>
    <row r="804" spans="1:4" ht="12" hidden="1" customHeight="1" outlineLevel="1" x14ac:dyDescent="0.25">
      <c r="A804" s="127"/>
      <c r="B804" s="124" t="s">
        <v>387</v>
      </c>
      <c r="C804" s="53" t="s">
        <v>388</v>
      </c>
      <c r="D804" s="126"/>
    </row>
    <row r="805" spans="1:4" ht="12" hidden="1" customHeight="1" outlineLevel="1" x14ac:dyDescent="0.25">
      <c r="A805" s="127"/>
      <c r="B805" s="128">
        <v>9930</v>
      </c>
      <c r="C805" s="68" t="s">
        <v>389</v>
      </c>
      <c r="D805" s="126"/>
    </row>
    <row r="806" spans="1:4" ht="12" hidden="1" customHeight="1" outlineLevel="1" x14ac:dyDescent="0.25">
      <c r="A806" s="127"/>
      <c r="B806" s="129">
        <v>9950</v>
      </c>
      <c r="C806" s="53" t="s">
        <v>390</v>
      </c>
      <c r="D806" s="126"/>
    </row>
    <row r="807" spans="1:4" ht="17.100000000000001" customHeight="1" collapsed="1" x14ac:dyDescent="0.25">
      <c r="A807" s="130"/>
      <c r="B807" s="131"/>
      <c r="C807" s="132" t="s">
        <v>391</v>
      </c>
      <c r="D807" s="133">
        <f t="shared" ref="D807" si="168">D55+D796</f>
        <v>319085</v>
      </c>
    </row>
    <row r="808" spans="1:4" ht="17.100000000000001" customHeight="1" x14ac:dyDescent="0.25">
      <c r="A808" s="134"/>
      <c r="B808" s="135"/>
      <c r="C808" s="136" t="s">
        <v>392</v>
      </c>
      <c r="D808" s="137">
        <v>44581</v>
      </c>
    </row>
    <row r="809" spans="1:4" ht="17.100000000000001" customHeight="1" x14ac:dyDescent="0.25">
      <c r="A809" s="138"/>
      <c r="B809" s="139"/>
      <c r="C809" s="140" t="s">
        <v>393</v>
      </c>
      <c r="D809" s="141">
        <f t="shared" ref="D809" si="169">D808+D13-D807</f>
        <v>0</v>
      </c>
    </row>
    <row r="810" spans="1:4" x14ac:dyDescent="0.25">
      <c r="A810" s="142"/>
      <c r="B810" s="142"/>
      <c r="C810" s="143"/>
      <c r="D810" s="144"/>
    </row>
    <row r="811" spans="1:4" x14ac:dyDescent="0.25">
      <c r="A811" s="142"/>
      <c r="B811" s="142"/>
      <c r="C811" s="143"/>
      <c r="D811" s="144"/>
    </row>
    <row r="812" spans="1:4" x14ac:dyDescent="0.25">
      <c r="A812" s="142"/>
      <c r="B812" s="142"/>
      <c r="C812" s="143"/>
      <c r="D812" s="144"/>
    </row>
    <row r="813" spans="1:4" x14ac:dyDescent="0.25">
      <c r="A813" s="142"/>
      <c r="B813" s="142"/>
      <c r="C813" s="143"/>
      <c r="D813" s="144"/>
    </row>
    <row r="814" spans="1:4" x14ac:dyDescent="0.25">
      <c r="A814" s="142"/>
      <c r="B814" s="142"/>
      <c r="C814" s="143"/>
      <c r="D814" s="144"/>
    </row>
    <row r="815" spans="1:4" x14ac:dyDescent="0.25">
      <c r="A815" s="142"/>
      <c r="B815" s="142"/>
      <c r="C815" s="143"/>
      <c r="D815" s="144"/>
    </row>
    <row r="816" spans="1:4" x14ac:dyDescent="0.25">
      <c r="A816" s="142"/>
      <c r="B816" s="142"/>
      <c r="C816" s="143"/>
      <c r="D816" s="144"/>
    </row>
    <row r="817" spans="1:4" x14ac:dyDescent="0.25">
      <c r="A817" s="142"/>
      <c r="B817" s="142"/>
      <c r="C817" s="143"/>
      <c r="D817" s="144"/>
    </row>
    <row r="818" spans="1:4" x14ac:dyDescent="0.25">
      <c r="A818" s="142"/>
      <c r="B818" s="142"/>
      <c r="C818" s="143"/>
      <c r="D818" s="144"/>
    </row>
    <row r="819" spans="1:4" x14ac:dyDescent="0.25">
      <c r="A819" s="142"/>
      <c r="B819" s="142"/>
      <c r="C819" s="143"/>
      <c r="D819" s="144"/>
    </row>
    <row r="820" spans="1:4" x14ac:dyDescent="0.25">
      <c r="A820" s="142"/>
      <c r="B820" s="142"/>
      <c r="C820" s="143"/>
      <c r="D820" s="144"/>
    </row>
    <row r="821" spans="1:4" x14ac:dyDescent="0.25">
      <c r="C821" s="143"/>
      <c r="D821" s="144"/>
    </row>
    <row r="822" spans="1:4" x14ac:dyDescent="0.25">
      <c r="C822" s="143"/>
      <c r="D822" s="144"/>
    </row>
    <row r="823" spans="1:4" x14ac:dyDescent="0.25">
      <c r="C823" s="143"/>
      <c r="D823" s="144"/>
    </row>
    <row r="824" spans="1:4" x14ac:dyDescent="0.25">
      <c r="C824" s="143"/>
      <c r="D824" s="144"/>
    </row>
    <row r="825" spans="1:4" x14ac:dyDescent="0.25">
      <c r="C825" s="143"/>
      <c r="D825" s="144"/>
    </row>
  </sheetData>
  <mergeCells count="2">
    <mergeCell ref="A8:D8"/>
    <mergeCell ref="A9:D9"/>
  </mergeCells>
  <pageMargins left="0.39370078740157483" right="0.39370078740157483" top="0.78740157480314965" bottom="0.78740157480314965" header="0" footer="0"/>
  <pageSetup paperSize="9" scale="88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16081-E49D-4E58-B0C5-0477977C415A}">
  <sheetPr>
    <pageSetUpPr fitToPage="1"/>
  </sheetPr>
  <dimension ref="A1:P536"/>
  <sheetViews>
    <sheetView workbookViewId="0">
      <selection activeCell="C5" sqref="C5"/>
    </sheetView>
  </sheetViews>
  <sheetFormatPr defaultRowHeight="15" outlineLevelRow="1" x14ac:dyDescent="0.25"/>
  <cols>
    <col min="1" max="1" width="5.85546875" customWidth="1"/>
    <col min="2" max="2" width="10.85546875" customWidth="1"/>
    <col min="3" max="3" width="45.28515625" customWidth="1"/>
    <col min="4" max="4" width="12.140625" customWidth="1"/>
    <col min="5" max="5" width="11.42578125" customWidth="1"/>
    <col min="6" max="6" width="13" style="145" customWidth="1"/>
    <col min="7" max="7" width="15.28515625" customWidth="1"/>
    <col min="8" max="12" width="11" customWidth="1"/>
    <col min="13" max="13" width="10.85546875" customWidth="1"/>
    <col min="14" max="14" width="11.140625" customWidth="1"/>
    <col min="15" max="15" width="12.140625" customWidth="1"/>
    <col min="16" max="16" width="12.85546875" customWidth="1"/>
    <col min="257" max="257" width="5.85546875" customWidth="1"/>
    <col min="258" max="258" width="10.85546875" customWidth="1"/>
    <col min="259" max="259" width="45.28515625" customWidth="1"/>
    <col min="260" max="260" width="12.140625" customWidth="1"/>
    <col min="261" max="261" width="11.42578125" customWidth="1"/>
    <col min="262" max="262" width="13" customWidth="1"/>
    <col min="263" max="263" width="15.28515625" customWidth="1"/>
    <col min="264" max="268" width="11" customWidth="1"/>
    <col min="269" max="269" width="10.85546875" customWidth="1"/>
    <col min="270" max="270" width="11.140625" customWidth="1"/>
    <col min="271" max="271" width="12.140625" customWidth="1"/>
    <col min="272" max="272" width="12.85546875" customWidth="1"/>
    <col min="513" max="513" width="5.85546875" customWidth="1"/>
    <col min="514" max="514" width="10.85546875" customWidth="1"/>
    <col min="515" max="515" width="45.28515625" customWidth="1"/>
    <col min="516" max="516" width="12.140625" customWidth="1"/>
    <col min="517" max="517" width="11.42578125" customWidth="1"/>
    <col min="518" max="518" width="13" customWidth="1"/>
    <col min="519" max="519" width="15.28515625" customWidth="1"/>
    <col min="520" max="524" width="11" customWidth="1"/>
    <col min="525" max="525" width="10.85546875" customWidth="1"/>
    <col min="526" max="526" width="11.140625" customWidth="1"/>
    <col min="527" max="527" width="12.140625" customWidth="1"/>
    <col min="528" max="528" width="12.85546875" customWidth="1"/>
    <col min="769" max="769" width="5.85546875" customWidth="1"/>
    <col min="770" max="770" width="10.85546875" customWidth="1"/>
    <col min="771" max="771" width="45.28515625" customWidth="1"/>
    <col min="772" max="772" width="12.140625" customWidth="1"/>
    <col min="773" max="773" width="11.42578125" customWidth="1"/>
    <col min="774" max="774" width="13" customWidth="1"/>
    <col min="775" max="775" width="15.28515625" customWidth="1"/>
    <col min="776" max="780" width="11" customWidth="1"/>
    <col min="781" max="781" width="10.85546875" customWidth="1"/>
    <col min="782" max="782" width="11.140625" customWidth="1"/>
    <col min="783" max="783" width="12.140625" customWidth="1"/>
    <col min="784" max="784" width="12.85546875" customWidth="1"/>
    <col min="1025" max="1025" width="5.85546875" customWidth="1"/>
    <col min="1026" max="1026" width="10.85546875" customWidth="1"/>
    <col min="1027" max="1027" width="45.28515625" customWidth="1"/>
    <col min="1028" max="1028" width="12.140625" customWidth="1"/>
    <col min="1029" max="1029" width="11.42578125" customWidth="1"/>
    <col min="1030" max="1030" width="13" customWidth="1"/>
    <col min="1031" max="1031" width="15.28515625" customWidth="1"/>
    <col min="1032" max="1036" width="11" customWidth="1"/>
    <col min="1037" max="1037" width="10.85546875" customWidth="1"/>
    <col min="1038" max="1038" width="11.140625" customWidth="1"/>
    <col min="1039" max="1039" width="12.140625" customWidth="1"/>
    <col min="1040" max="1040" width="12.85546875" customWidth="1"/>
    <col min="1281" max="1281" width="5.85546875" customWidth="1"/>
    <col min="1282" max="1282" width="10.85546875" customWidth="1"/>
    <col min="1283" max="1283" width="45.28515625" customWidth="1"/>
    <col min="1284" max="1284" width="12.140625" customWidth="1"/>
    <col min="1285" max="1285" width="11.42578125" customWidth="1"/>
    <col min="1286" max="1286" width="13" customWidth="1"/>
    <col min="1287" max="1287" width="15.28515625" customWidth="1"/>
    <col min="1288" max="1292" width="11" customWidth="1"/>
    <col min="1293" max="1293" width="10.85546875" customWidth="1"/>
    <col min="1294" max="1294" width="11.140625" customWidth="1"/>
    <col min="1295" max="1295" width="12.140625" customWidth="1"/>
    <col min="1296" max="1296" width="12.85546875" customWidth="1"/>
    <col min="1537" max="1537" width="5.85546875" customWidth="1"/>
    <col min="1538" max="1538" width="10.85546875" customWidth="1"/>
    <col min="1539" max="1539" width="45.28515625" customWidth="1"/>
    <col min="1540" max="1540" width="12.140625" customWidth="1"/>
    <col min="1541" max="1541" width="11.42578125" customWidth="1"/>
    <col min="1542" max="1542" width="13" customWidth="1"/>
    <col min="1543" max="1543" width="15.28515625" customWidth="1"/>
    <col min="1544" max="1548" width="11" customWidth="1"/>
    <col min="1549" max="1549" width="10.85546875" customWidth="1"/>
    <col min="1550" max="1550" width="11.140625" customWidth="1"/>
    <col min="1551" max="1551" width="12.140625" customWidth="1"/>
    <col min="1552" max="1552" width="12.85546875" customWidth="1"/>
    <col min="1793" max="1793" width="5.85546875" customWidth="1"/>
    <col min="1794" max="1794" width="10.85546875" customWidth="1"/>
    <col min="1795" max="1795" width="45.28515625" customWidth="1"/>
    <col min="1796" max="1796" width="12.140625" customWidth="1"/>
    <col min="1797" max="1797" width="11.42578125" customWidth="1"/>
    <col min="1798" max="1798" width="13" customWidth="1"/>
    <col min="1799" max="1799" width="15.28515625" customWidth="1"/>
    <col min="1800" max="1804" width="11" customWidth="1"/>
    <col min="1805" max="1805" width="10.85546875" customWidth="1"/>
    <col min="1806" max="1806" width="11.140625" customWidth="1"/>
    <col min="1807" max="1807" width="12.140625" customWidth="1"/>
    <col min="1808" max="1808" width="12.85546875" customWidth="1"/>
    <col min="2049" max="2049" width="5.85546875" customWidth="1"/>
    <col min="2050" max="2050" width="10.85546875" customWidth="1"/>
    <col min="2051" max="2051" width="45.28515625" customWidth="1"/>
    <col min="2052" max="2052" width="12.140625" customWidth="1"/>
    <col min="2053" max="2053" width="11.42578125" customWidth="1"/>
    <col min="2054" max="2054" width="13" customWidth="1"/>
    <col min="2055" max="2055" width="15.28515625" customWidth="1"/>
    <col min="2056" max="2060" width="11" customWidth="1"/>
    <col min="2061" max="2061" width="10.85546875" customWidth="1"/>
    <col min="2062" max="2062" width="11.140625" customWidth="1"/>
    <col min="2063" max="2063" width="12.140625" customWidth="1"/>
    <col min="2064" max="2064" width="12.85546875" customWidth="1"/>
    <col min="2305" max="2305" width="5.85546875" customWidth="1"/>
    <col min="2306" max="2306" width="10.85546875" customWidth="1"/>
    <col min="2307" max="2307" width="45.28515625" customWidth="1"/>
    <col min="2308" max="2308" width="12.140625" customWidth="1"/>
    <col min="2309" max="2309" width="11.42578125" customWidth="1"/>
    <col min="2310" max="2310" width="13" customWidth="1"/>
    <col min="2311" max="2311" width="15.28515625" customWidth="1"/>
    <col min="2312" max="2316" width="11" customWidth="1"/>
    <col min="2317" max="2317" width="10.85546875" customWidth="1"/>
    <col min="2318" max="2318" width="11.140625" customWidth="1"/>
    <col min="2319" max="2319" width="12.140625" customWidth="1"/>
    <col min="2320" max="2320" width="12.85546875" customWidth="1"/>
    <col min="2561" max="2561" width="5.85546875" customWidth="1"/>
    <col min="2562" max="2562" width="10.85546875" customWidth="1"/>
    <col min="2563" max="2563" width="45.28515625" customWidth="1"/>
    <col min="2564" max="2564" width="12.140625" customWidth="1"/>
    <col min="2565" max="2565" width="11.42578125" customWidth="1"/>
    <col min="2566" max="2566" width="13" customWidth="1"/>
    <col min="2567" max="2567" width="15.28515625" customWidth="1"/>
    <col min="2568" max="2572" width="11" customWidth="1"/>
    <col min="2573" max="2573" width="10.85546875" customWidth="1"/>
    <col min="2574" max="2574" width="11.140625" customWidth="1"/>
    <col min="2575" max="2575" width="12.140625" customWidth="1"/>
    <col min="2576" max="2576" width="12.85546875" customWidth="1"/>
    <col min="2817" max="2817" width="5.85546875" customWidth="1"/>
    <col min="2818" max="2818" width="10.85546875" customWidth="1"/>
    <col min="2819" max="2819" width="45.28515625" customWidth="1"/>
    <col min="2820" max="2820" width="12.140625" customWidth="1"/>
    <col min="2821" max="2821" width="11.42578125" customWidth="1"/>
    <col min="2822" max="2822" width="13" customWidth="1"/>
    <col min="2823" max="2823" width="15.28515625" customWidth="1"/>
    <col min="2824" max="2828" width="11" customWidth="1"/>
    <col min="2829" max="2829" width="10.85546875" customWidth="1"/>
    <col min="2830" max="2830" width="11.140625" customWidth="1"/>
    <col min="2831" max="2831" width="12.140625" customWidth="1"/>
    <col min="2832" max="2832" width="12.85546875" customWidth="1"/>
    <col min="3073" max="3073" width="5.85546875" customWidth="1"/>
    <col min="3074" max="3074" width="10.85546875" customWidth="1"/>
    <col min="3075" max="3075" width="45.28515625" customWidth="1"/>
    <col min="3076" max="3076" width="12.140625" customWidth="1"/>
    <col min="3077" max="3077" width="11.42578125" customWidth="1"/>
    <col min="3078" max="3078" width="13" customWidth="1"/>
    <col min="3079" max="3079" width="15.28515625" customWidth="1"/>
    <col min="3080" max="3084" width="11" customWidth="1"/>
    <col min="3085" max="3085" width="10.85546875" customWidth="1"/>
    <col min="3086" max="3086" width="11.140625" customWidth="1"/>
    <col min="3087" max="3087" width="12.140625" customWidth="1"/>
    <col min="3088" max="3088" width="12.85546875" customWidth="1"/>
    <col min="3329" max="3329" width="5.85546875" customWidth="1"/>
    <col min="3330" max="3330" width="10.85546875" customWidth="1"/>
    <col min="3331" max="3331" width="45.28515625" customWidth="1"/>
    <col min="3332" max="3332" width="12.140625" customWidth="1"/>
    <col min="3333" max="3333" width="11.42578125" customWidth="1"/>
    <col min="3334" max="3334" width="13" customWidth="1"/>
    <col min="3335" max="3335" width="15.28515625" customWidth="1"/>
    <col min="3336" max="3340" width="11" customWidth="1"/>
    <col min="3341" max="3341" width="10.85546875" customWidth="1"/>
    <col min="3342" max="3342" width="11.140625" customWidth="1"/>
    <col min="3343" max="3343" width="12.140625" customWidth="1"/>
    <col min="3344" max="3344" width="12.85546875" customWidth="1"/>
    <col min="3585" max="3585" width="5.85546875" customWidth="1"/>
    <col min="3586" max="3586" width="10.85546875" customWidth="1"/>
    <col min="3587" max="3587" width="45.28515625" customWidth="1"/>
    <col min="3588" max="3588" width="12.140625" customWidth="1"/>
    <col min="3589" max="3589" width="11.42578125" customWidth="1"/>
    <col min="3590" max="3590" width="13" customWidth="1"/>
    <col min="3591" max="3591" width="15.28515625" customWidth="1"/>
    <col min="3592" max="3596" width="11" customWidth="1"/>
    <col min="3597" max="3597" width="10.85546875" customWidth="1"/>
    <col min="3598" max="3598" width="11.140625" customWidth="1"/>
    <col min="3599" max="3599" width="12.140625" customWidth="1"/>
    <col min="3600" max="3600" width="12.85546875" customWidth="1"/>
    <col min="3841" max="3841" width="5.85546875" customWidth="1"/>
    <col min="3842" max="3842" width="10.85546875" customWidth="1"/>
    <col min="3843" max="3843" width="45.28515625" customWidth="1"/>
    <col min="3844" max="3844" width="12.140625" customWidth="1"/>
    <col min="3845" max="3845" width="11.42578125" customWidth="1"/>
    <col min="3846" max="3846" width="13" customWidth="1"/>
    <col min="3847" max="3847" width="15.28515625" customWidth="1"/>
    <col min="3848" max="3852" width="11" customWidth="1"/>
    <col min="3853" max="3853" width="10.85546875" customWidth="1"/>
    <col min="3854" max="3854" width="11.140625" customWidth="1"/>
    <col min="3855" max="3855" width="12.140625" customWidth="1"/>
    <col min="3856" max="3856" width="12.85546875" customWidth="1"/>
    <col min="4097" max="4097" width="5.85546875" customWidth="1"/>
    <col min="4098" max="4098" width="10.85546875" customWidth="1"/>
    <col min="4099" max="4099" width="45.28515625" customWidth="1"/>
    <col min="4100" max="4100" width="12.140625" customWidth="1"/>
    <col min="4101" max="4101" width="11.42578125" customWidth="1"/>
    <col min="4102" max="4102" width="13" customWidth="1"/>
    <col min="4103" max="4103" width="15.28515625" customWidth="1"/>
    <col min="4104" max="4108" width="11" customWidth="1"/>
    <col min="4109" max="4109" width="10.85546875" customWidth="1"/>
    <col min="4110" max="4110" width="11.140625" customWidth="1"/>
    <col min="4111" max="4111" width="12.140625" customWidth="1"/>
    <col min="4112" max="4112" width="12.85546875" customWidth="1"/>
    <col min="4353" max="4353" width="5.85546875" customWidth="1"/>
    <col min="4354" max="4354" width="10.85546875" customWidth="1"/>
    <col min="4355" max="4355" width="45.28515625" customWidth="1"/>
    <col min="4356" max="4356" width="12.140625" customWidth="1"/>
    <col min="4357" max="4357" width="11.42578125" customWidth="1"/>
    <col min="4358" max="4358" width="13" customWidth="1"/>
    <col min="4359" max="4359" width="15.28515625" customWidth="1"/>
    <col min="4360" max="4364" width="11" customWidth="1"/>
    <col min="4365" max="4365" width="10.85546875" customWidth="1"/>
    <col min="4366" max="4366" width="11.140625" customWidth="1"/>
    <col min="4367" max="4367" width="12.140625" customWidth="1"/>
    <col min="4368" max="4368" width="12.85546875" customWidth="1"/>
    <col min="4609" max="4609" width="5.85546875" customWidth="1"/>
    <col min="4610" max="4610" width="10.85546875" customWidth="1"/>
    <col min="4611" max="4611" width="45.28515625" customWidth="1"/>
    <col min="4612" max="4612" width="12.140625" customWidth="1"/>
    <col min="4613" max="4613" width="11.42578125" customWidth="1"/>
    <col min="4614" max="4614" width="13" customWidth="1"/>
    <col min="4615" max="4615" width="15.28515625" customWidth="1"/>
    <col min="4616" max="4620" width="11" customWidth="1"/>
    <col min="4621" max="4621" width="10.85546875" customWidth="1"/>
    <col min="4622" max="4622" width="11.140625" customWidth="1"/>
    <col min="4623" max="4623" width="12.140625" customWidth="1"/>
    <col min="4624" max="4624" width="12.85546875" customWidth="1"/>
    <col min="4865" max="4865" width="5.85546875" customWidth="1"/>
    <col min="4866" max="4866" width="10.85546875" customWidth="1"/>
    <col min="4867" max="4867" width="45.28515625" customWidth="1"/>
    <col min="4868" max="4868" width="12.140625" customWidth="1"/>
    <col min="4869" max="4869" width="11.42578125" customWidth="1"/>
    <col min="4870" max="4870" width="13" customWidth="1"/>
    <col min="4871" max="4871" width="15.28515625" customWidth="1"/>
    <col min="4872" max="4876" width="11" customWidth="1"/>
    <col min="4877" max="4877" width="10.85546875" customWidth="1"/>
    <col min="4878" max="4878" width="11.140625" customWidth="1"/>
    <col min="4879" max="4879" width="12.140625" customWidth="1"/>
    <col min="4880" max="4880" width="12.85546875" customWidth="1"/>
    <col min="5121" max="5121" width="5.85546875" customWidth="1"/>
    <col min="5122" max="5122" width="10.85546875" customWidth="1"/>
    <col min="5123" max="5123" width="45.28515625" customWidth="1"/>
    <col min="5124" max="5124" width="12.140625" customWidth="1"/>
    <col min="5125" max="5125" width="11.42578125" customWidth="1"/>
    <col min="5126" max="5126" width="13" customWidth="1"/>
    <col min="5127" max="5127" width="15.28515625" customWidth="1"/>
    <col min="5128" max="5132" width="11" customWidth="1"/>
    <col min="5133" max="5133" width="10.85546875" customWidth="1"/>
    <col min="5134" max="5134" width="11.140625" customWidth="1"/>
    <col min="5135" max="5135" width="12.140625" customWidth="1"/>
    <col min="5136" max="5136" width="12.85546875" customWidth="1"/>
    <col min="5377" max="5377" width="5.85546875" customWidth="1"/>
    <col min="5378" max="5378" width="10.85546875" customWidth="1"/>
    <col min="5379" max="5379" width="45.28515625" customWidth="1"/>
    <col min="5380" max="5380" width="12.140625" customWidth="1"/>
    <col min="5381" max="5381" width="11.42578125" customWidth="1"/>
    <col min="5382" max="5382" width="13" customWidth="1"/>
    <col min="5383" max="5383" width="15.28515625" customWidth="1"/>
    <col min="5384" max="5388" width="11" customWidth="1"/>
    <col min="5389" max="5389" width="10.85546875" customWidth="1"/>
    <col min="5390" max="5390" width="11.140625" customWidth="1"/>
    <col min="5391" max="5391" width="12.140625" customWidth="1"/>
    <col min="5392" max="5392" width="12.85546875" customWidth="1"/>
    <col min="5633" max="5633" width="5.85546875" customWidth="1"/>
    <col min="5634" max="5634" width="10.85546875" customWidth="1"/>
    <col min="5635" max="5635" width="45.28515625" customWidth="1"/>
    <col min="5636" max="5636" width="12.140625" customWidth="1"/>
    <col min="5637" max="5637" width="11.42578125" customWidth="1"/>
    <col min="5638" max="5638" width="13" customWidth="1"/>
    <col min="5639" max="5639" width="15.28515625" customWidth="1"/>
    <col min="5640" max="5644" width="11" customWidth="1"/>
    <col min="5645" max="5645" width="10.85546875" customWidth="1"/>
    <col min="5646" max="5646" width="11.140625" customWidth="1"/>
    <col min="5647" max="5647" width="12.140625" customWidth="1"/>
    <col min="5648" max="5648" width="12.85546875" customWidth="1"/>
    <col min="5889" max="5889" width="5.85546875" customWidth="1"/>
    <col min="5890" max="5890" width="10.85546875" customWidth="1"/>
    <col min="5891" max="5891" width="45.28515625" customWidth="1"/>
    <col min="5892" max="5892" width="12.140625" customWidth="1"/>
    <col min="5893" max="5893" width="11.42578125" customWidth="1"/>
    <col min="5894" max="5894" width="13" customWidth="1"/>
    <col min="5895" max="5895" width="15.28515625" customWidth="1"/>
    <col min="5896" max="5900" width="11" customWidth="1"/>
    <col min="5901" max="5901" width="10.85546875" customWidth="1"/>
    <col min="5902" max="5902" width="11.140625" customWidth="1"/>
    <col min="5903" max="5903" width="12.140625" customWidth="1"/>
    <col min="5904" max="5904" width="12.85546875" customWidth="1"/>
    <col min="6145" max="6145" width="5.85546875" customWidth="1"/>
    <col min="6146" max="6146" width="10.85546875" customWidth="1"/>
    <col min="6147" max="6147" width="45.28515625" customWidth="1"/>
    <col min="6148" max="6148" width="12.140625" customWidth="1"/>
    <col min="6149" max="6149" width="11.42578125" customWidth="1"/>
    <col min="6150" max="6150" width="13" customWidth="1"/>
    <col min="6151" max="6151" width="15.28515625" customWidth="1"/>
    <col min="6152" max="6156" width="11" customWidth="1"/>
    <col min="6157" max="6157" width="10.85546875" customWidth="1"/>
    <col min="6158" max="6158" width="11.140625" customWidth="1"/>
    <col min="6159" max="6159" width="12.140625" customWidth="1"/>
    <col min="6160" max="6160" width="12.85546875" customWidth="1"/>
    <col min="6401" max="6401" width="5.85546875" customWidth="1"/>
    <col min="6402" max="6402" width="10.85546875" customWidth="1"/>
    <col min="6403" max="6403" width="45.28515625" customWidth="1"/>
    <col min="6404" max="6404" width="12.140625" customWidth="1"/>
    <col min="6405" max="6405" width="11.42578125" customWidth="1"/>
    <col min="6406" max="6406" width="13" customWidth="1"/>
    <col min="6407" max="6407" width="15.28515625" customWidth="1"/>
    <col min="6408" max="6412" width="11" customWidth="1"/>
    <col min="6413" max="6413" width="10.85546875" customWidth="1"/>
    <col min="6414" max="6414" width="11.140625" customWidth="1"/>
    <col min="6415" max="6415" width="12.140625" customWidth="1"/>
    <col min="6416" max="6416" width="12.85546875" customWidth="1"/>
    <col min="6657" max="6657" width="5.85546875" customWidth="1"/>
    <col min="6658" max="6658" width="10.85546875" customWidth="1"/>
    <col min="6659" max="6659" width="45.28515625" customWidth="1"/>
    <col min="6660" max="6660" width="12.140625" customWidth="1"/>
    <col min="6661" max="6661" width="11.42578125" customWidth="1"/>
    <col min="6662" max="6662" width="13" customWidth="1"/>
    <col min="6663" max="6663" width="15.28515625" customWidth="1"/>
    <col min="6664" max="6668" width="11" customWidth="1"/>
    <col min="6669" max="6669" width="10.85546875" customWidth="1"/>
    <col min="6670" max="6670" width="11.140625" customWidth="1"/>
    <col min="6671" max="6671" width="12.140625" customWidth="1"/>
    <col min="6672" max="6672" width="12.85546875" customWidth="1"/>
    <col min="6913" max="6913" width="5.85546875" customWidth="1"/>
    <col min="6914" max="6914" width="10.85546875" customWidth="1"/>
    <col min="6915" max="6915" width="45.28515625" customWidth="1"/>
    <col min="6916" max="6916" width="12.140625" customWidth="1"/>
    <col min="6917" max="6917" width="11.42578125" customWidth="1"/>
    <col min="6918" max="6918" width="13" customWidth="1"/>
    <col min="6919" max="6919" width="15.28515625" customWidth="1"/>
    <col min="6920" max="6924" width="11" customWidth="1"/>
    <col min="6925" max="6925" width="10.85546875" customWidth="1"/>
    <col min="6926" max="6926" width="11.140625" customWidth="1"/>
    <col min="6927" max="6927" width="12.140625" customWidth="1"/>
    <col min="6928" max="6928" width="12.85546875" customWidth="1"/>
    <col min="7169" max="7169" width="5.85546875" customWidth="1"/>
    <col min="7170" max="7170" width="10.85546875" customWidth="1"/>
    <col min="7171" max="7171" width="45.28515625" customWidth="1"/>
    <col min="7172" max="7172" width="12.140625" customWidth="1"/>
    <col min="7173" max="7173" width="11.42578125" customWidth="1"/>
    <col min="7174" max="7174" width="13" customWidth="1"/>
    <col min="7175" max="7175" width="15.28515625" customWidth="1"/>
    <col min="7176" max="7180" width="11" customWidth="1"/>
    <col min="7181" max="7181" width="10.85546875" customWidth="1"/>
    <col min="7182" max="7182" width="11.140625" customWidth="1"/>
    <col min="7183" max="7183" width="12.140625" customWidth="1"/>
    <col min="7184" max="7184" width="12.85546875" customWidth="1"/>
    <col min="7425" max="7425" width="5.85546875" customWidth="1"/>
    <col min="7426" max="7426" width="10.85546875" customWidth="1"/>
    <col min="7427" max="7427" width="45.28515625" customWidth="1"/>
    <col min="7428" max="7428" width="12.140625" customWidth="1"/>
    <col min="7429" max="7429" width="11.42578125" customWidth="1"/>
    <col min="7430" max="7430" width="13" customWidth="1"/>
    <col min="7431" max="7431" width="15.28515625" customWidth="1"/>
    <col min="7432" max="7436" width="11" customWidth="1"/>
    <col min="7437" max="7437" width="10.85546875" customWidth="1"/>
    <col min="7438" max="7438" width="11.140625" customWidth="1"/>
    <col min="7439" max="7439" width="12.140625" customWidth="1"/>
    <col min="7440" max="7440" width="12.85546875" customWidth="1"/>
    <col min="7681" max="7681" width="5.85546875" customWidth="1"/>
    <col min="7682" max="7682" width="10.85546875" customWidth="1"/>
    <col min="7683" max="7683" width="45.28515625" customWidth="1"/>
    <col min="7684" max="7684" width="12.140625" customWidth="1"/>
    <col min="7685" max="7685" width="11.42578125" customWidth="1"/>
    <col min="7686" max="7686" width="13" customWidth="1"/>
    <col min="7687" max="7687" width="15.28515625" customWidth="1"/>
    <col min="7688" max="7692" width="11" customWidth="1"/>
    <col min="7693" max="7693" width="10.85546875" customWidth="1"/>
    <col min="7694" max="7694" width="11.140625" customWidth="1"/>
    <col min="7695" max="7695" width="12.140625" customWidth="1"/>
    <col min="7696" max="7696" width="12.85546875" customWidth="1"/>
    <col min="7937" max="7937" width="5.85546875" customWidth="1"/>
    <col min="7938" max="7938" width="10.85546875" customWidth="1"/>
    <col min="7939" max="7939" width="45.28515625" customWidth="1"/>
    <col min="7940" max="7940" width="12.140625" customWidth="1"/>
    <col min="7941" max="7941" width="11.42578125" customWidth="1"/>
    <col min="7942" max="7942" width="13" customWidth="1"/>
    <col min="7943" max="7943" width="15.28515625" customWidth="1"/>
    <col min="7944" max="7948" width="11" customWidth="1"/>
    <col min="7949" max="7949" width="10.85546875" customWidth="1"/>
    <col min="7950" max="7950" width="11.140625" customWidth="1"/>
    <col min="7951" max="7951" width="12.140625" customWidth="1"/>
    <col min="7952" max="7952" width="12.85546875" customWidth="1"/>
    <col min="8193" max="8193" width="5.85546875" customWidth="1"/>
    <col min="8194" max="8194" width="10.85546875" customWidth="1"/>
    <col min="8195" max="8195" width="45.28515625" customWidth="1"/>
    <col min="8196" max="8196" width="12.140625" customWidth="1"/>
    <col min="8197" max="8197" width="11.42578125" customWidth="1"/>
    <col min="8198" max="8198" width="13" customWidth="1"/>
    <col min="8199" max="8199" width="15.28515625" customWidth="1"/>
    <col min="8200" max="8204" width="11" customWidth="1"/>
    <col min="8205" max="8205" width="10.85546875" customWidth="1"/>
    <col min="8206" max="8206" width="11.140625" customWidth="1"/>
    <col min="8207" max="8207" width="12.140625" customWidth="1"/>
    <col min="8208" max="8208" width="12.85546875" customWidth="1"/>
    <col min="8449" max="8449" width="5.85546875" customWidth="1"/>
    <col min="8450" max="8450" width="10.85546875" customWidth="1"/>
    <col min="8451" max="8451" width="45.28515625" customWidth="1"/>
    <col min="8452" max="8452" width="12.140625" customWidth="1"/>
    <col min="8453" max="8453" width="11.42578125" customWidth="1"/>
    <col min="8454" max="8454" width="13" customWidth="1"/>
    <col min="8455" max="8455" width="15.28515625" customWidth="1"/>
    <col min="8456" max="8460" width="11" customWidth="1"/>
    <col min="8461" max="8461" width="10.85546875" customWidth="1"/>
    <col min="8462" max="8462" width="11.140625" customWidth="1"/>
    <col min="8463" max="8463" width="12.140625" customWidth="1"/>
    <col min="8464" max="8464" width="12.85546875" customWidth="1"/>
    <col min="8705" max="8705" width="5.85546875" customWidth="1"/>
    <col min="8706" max="8706" width="10.85546875" customWidth="1"/>
    <col min="8707" max="8707" width="45.28515625" customWidth="1"/>
    <col min="8708" max="8708" width="12.140625" customWidth="1"/>
    <col min="8709" max="8709" width="11.42578125" customWidth="1"/>
    <col min="8710" max="8710" width="13" customWidth="1"/>
    <col min="8711" max="8711" width="15.28515625" customWidth="1"/>
    <col min="8712" max="8716" width="11" customWidth="1"/>
    <col min="8717" max="8717" width="10.85546875" customWidth="1"/>
    <col min="8718" max="8718" width="11.140625" customWidth="1"/>
    <col min="8719" max="8719" width="12.140625" customWidth="1"/>
    <col min="8720" max="8720" width="12.85546875" customWidth="1"/>
    <col min="8961" max="8961" width="5.85546875" customWidth="1"/>
    <col min="8962" max="8962" width="10.85546875" customWidth="1"/>
    <col min="8963" max="8963" width="45.28515625" customWidth="1"/>
    <col min="8964" max="8964" width="12.140625" customWidth="1"/>
    <col min="8965" max="8965" width="11.42578125" customWidth="1"/>
    <col min="8966" max="8966" width="13" customWidth="1"/>
    <col min="8967" max="8967" width="15.28515625" customWidth="1"/>
    <col min="8968" max="8972" width="11" customWidth="1"/>
    <col min="8973" max="8973" width="10.85546875" customWidth="1"/>
    <col min="8974" max="8974" width="11.140625" customWidth="1"/>
    <col min="8975" max="8975" width="12.140625" customWidth="1"/>
    <col min="8976" max="8976" width="12.85546875" customWidth="1"/>
    <col min="9217" max="9217" width="5.85546875" customWidth="1"/>
    <col min="9218" max="9218" width="10.85546875" customWidth="1"/>
    <col min="9219" max="9219" width="45.28515625" customWidth="1"/>
    <col min="9220" max="9220" width="12.140625" customWidth="1"/>
    <col min="9221" max="9221" width="11.42578125" customWidth="1"/>
    <col min="9222" max="9222" width="13" customWidth="1"/>
    <col min="9223" max="9223" width="15.28515625" customWidth="1"/>
    <col min="9224" max="9228" width="11" customWidth="1"/>
    <col min="9229" max="9229" width="10.85546875" customWidth="1"/>
    <col min="9230" max="9230" width="11.140625" customWidth="1"/>
    <col min="9231" max="9231" width="12.140625" customWidth="1"/>
    <col min="9232" max="9232" width="12.85546875" customWidth="1"/>
    <col min="9473" max="9473" width="5.85546875" customWidth="1"/>
    <col min="9474" max="9474" width="10.85546875" customWidth="1"/>
    <col min="9475" max="9475" width="45.28515625" customWidth="1"/>
    <col min="9476" max="9476" width="12.140625" customWidth="1"/>
    <col min="9477" max="9477" width="11.42578125" customWidth="1"/>
    <col min="9478" max="9478" width="13" customWidth="1"/>
    <col min="9479" max="9479" width="15.28515625" customWidth="1"/>
    <col min="9480" max="9484" width="11" customWidth="1"/>
    <col min="9485" max="9485" width="10.85546875" customWidth="1"/>
    <col min="9486" max="9486" width="11.140625" customWidth="1"/>
    <col min="9487" max="9487" width="12.140625" customWidth="1"/>
    <col min="9488" max="9488" width="12.85546875" customWidth="1"/>
    <col min="9729" max="9729" width="5.85546875" customWidth="1"/>
    <col min="9730" max="9730" width="10.85546875" customWidth="1"/>
    <col min="9731" max="9731" width="45.28515625" customWidth="1"/>
    <col min="9732" max="9732" width="12.140625" customWidth="1"/>
    <col min="9733" max="9733" width="11.42578125" customWidth="1"/>
    <col min="9734" max="9734" width="13" customWidth="1"/>
    <col min="9735" max="9735" width="15.28515625" customWidth="1"/>
    <col min="9736" max="9740" width="11" customWidth="1"/>
    <col min="9741" max="9741" width="10.85546875" customWidth="1"/>
    <col min="9742" max="9742" width="11.140625" customWidth="1"/>
    <col min="9743" max="9743" width="12.140625" customWidth="1"/>
    <col min="9744" max="9744" width="12.85546875" customWidth="1"/>
    <col min="9985" max="9985" width="5.85546875" customWidth="1"/>
    <col min="9986" max="9986" width="10.85546875" customWidth="1"/>
    <col min="9987" max="9987" width="45.28515625" customWidth="1"/>
    <col min="9988" max="9988" width="12.140625" customWidth="1"/>
    <col min="9989" max="9989" width="11.42578125" customWidth="1"/>
    <col min="9990" max="9990" width="13" customWidth="1"/>
    <col min="9991" max="9991" width="15.28515625" customWidth="1"/>
    <col min="9992" max="9996" width="11" customWidth="1"/>
    <col min="9997" max="9997" width="10.85546875" customWidth="1"/>
    <col min="9998" max="9998" width="11.140625" customWidth="1"/>
    <col min="9999" max="9999" width="12.140625" customWidth="1"/>
    <col min="10000" max="10000" width="12.85546875" customWidth="1"/>
    <col min="10241" max="10241" width="5.85546875" customWidth="1"/>
    <col min="10242" max="10242" width="10.85546875" customWidth="1"/>
    <col min="10243" max="10243" width="45.28515625" customWidth="1"/>
    <col min="10244" max="10244" width="12.140625" customWidth="1"/>
    <col min="10245" max="10245" width="11.42578125" customWidth="1"/>
    <col min="10246" max="10246" width="13" customWidth="1"/>
    <col min="10247" max="10247" width="15.28515625" customWidth="1"/>
    <col min="10248" max="10252" width="11" customWidth="1"/>
    <col min="10253" max="10253" width="10.85546875" customWidth="1"/>
    <col min="10254" max="10254" width="11.140625" customWidth="1"/>
    <col min="10255" max="10255" width="12.140625" customWidth="1"/>
    <col min="10256" max="10256" width="12.85546875" customWidth="1"/>
    <col min="10497" max="10497" width="5.85546875" customWidth="1"/>
    <col min="10498" max="10498" width="10.85546875" customWidth="1"/>
    <col min="10499" max="10499" width="45.28515625" customWidth="1"/>
    <col min="10500" max="10500" width="12.140625" customWidth="1"/>
    <col min="10501" max="10501" width="11.42578125" customWidth="1"/>
    <col min="10502" max="10502" width="13" customWidth="1"/>
    <col min="10503" max="10503" width="15.28515625" customWidth="1"/>
    <col min="10504" max="10508" width="11" customWidth="1"/>
    <col min="10509" max="10509" width="10.85546875" customWidth="1"/>
    <col min="10510" max="10510" width="11.140625" customWidth="1"/>
    <col min="10511" max="10511" width="12.140625" customWidth="1"/>
    <col min="10512" max="10512" width="12.85546875" customWidth="1"/>
    <col min="10753" max="10753" width="5.85546875" customWidth="1"/>
    <col min="10754" max="10754" width="10.85546875" customWidth="1"/>
    <col min="10755" max="10755" width="45.28515625" customWidth="1"/>
    <col min="10756" max="10756" width="12.140625" customWidth="1"/>
    <col min="10757" max="10757" width="11.42578125" customWidth="1"/>
    <col min="10758" max="10758" width="13" customWidth="1"/>
    <col min="10759" max="10759" width="15.28515625" customWidth="1"/>
    <col min="10760" max="10764" width="11" customWidth="1"/>
    <col min="10765" max="10765" width="10.85546875" customWidth="1"/>
    <col min="10766" max="10766" width="11.140625" customWidth="1"/>
    <col min="10767" max="10767" width="12.140625" customWidth="1"/>
    <col min="10768" max="10768" width="12.85546875" customWidth="1"/>
    <col min="11009" max="11009" width="5.85546875" customWidth="1"/>
    <col min="11010" max="11010" width="10.85546875" customWidth="1"/>
    <col min="11011" max="11011" width="45.28515625" customWidth="1"/>
    <col min="11012" max="11012" width="12.140625" customWidth="1"/>
    <col min="11013" max="11013" width="11.42578125" customWidth="1"/>
    <col min="11014" max="11014" width="13" customWidth="1"/>
    <col min="11015" max="11015" width="15.28515625" customWidth="1"/>
    <col min="11016" max="11020" width="11" customWidth="1"/>
    <col min="11021" max="11021" width="10.85546875" customWidth="1"/>
    <col min="11022" max="11022" width="11.140625" customWidth="1"/>
    <col min="11023" max="11023" width="12.140625" customWidth="1"/>
    <col min="11024" max="11024" width="12.85546875" customWidth="1"/>
    <col min="11265" max="11265" width="5.85546875" customWidth="1"/>
    <col min="11266" max="11266" width="10.85546875" customWidth="1"/>
    <col min="11267" max="11267" width="45.28515625" customWidth="1"/>
    <col min="11268" max="11268" width="12.140625" customWidth="1"/>
    <col min="11269" max="11269" width="11.42578125" customWidth="1"/>
    <col min="11270" max="11270" width="13" customWidth="1"/>
    <col min="11271" max="11271" width="15.28515625" customWidth="1"/>
    <col min="11272" max="11276" width="11" customWidth="1"/>
    <col min="11277" max="11277" width="10.85546875" customWidth="1"/>
    <col min="11278" max="11278" width="11.140625" customWidth="1"/>
    <col min="11279" max="11279" width="12.140625" customWidth="1"/>
    <col min="11280" max="11280" width="12.85546875" customWidth="1"/>
    <col min="11521" max="11521" width="5.85546875" customWidth="1"/>
    <col min="11522" max="11522" width="10.85546875" customWidth="1"/>
    <col min="11523" max="11523" width="45.28515625" customWidth="1"/>
    <col min="11524" max="11524" width="12.140625" customWidth="1"/>
    <col min="11525" max="11525" width="11.42578125" customWidth="1"/>
    <col min="11526" max="11526" width="13" customWidth="1"/>
    <col min="11527" max="11527" width="15.28515625" customWidth="1"/>
    <col min="11528" max="11532" width="11" customWidth="1"/>
    <col min="11533" max="11533" width="10.85546875" customWidth="1"/>
    <col min="11534" max="11534" width="11.140625" customWidth="1"/>
    <col min="11535" max="11535" width="12.140625" customWidth="1"/>
    <col min="11536" max="11536" width="12.85546875" customWidth="1"/>
    <col min="11777" max="11777" width="5.85546875" customWidth="1"/>
    <col min="11778" max="11778" width="10.85546875" customWidth="1"/>
    <col min="11779" max="11779" width="45.28515625" customWidth="1"/>
    <col min="11780" max="11780" width="12.140625" customWidth="1"/>
    <col min="11781" max="11781" width="11.42578125" customWidth="1"/>
    <col min="11782" max="11782" width="13" customWidth="1"/>
    <col min="11783" max="11783" width="15.28515625" customWidth="1"/>
    <col min="11784" max="11788" width="11" customWidth="1"/>
    <col min="11789" max="11789" width="10.85546875" customWidth="1"/>
    <col min="11790" max="11790" width="11.140625" customWidth="1"/>
    <col min="11791" max="11791" width="12.140625" customWidth="1"/>
    <col min="11792" max="11792" width="12.85546875" customWidth="1"/>
    <col min="12033" max="12033" width="5.85546875" customWidth="1"/>
    <col min="12034" max="12034" width="10.85546875" customWidth="1"/>
    <col min="12035" max="12035" width="45.28515625" customWidth="1"/>
    <col min="12036" max="12036" width="12.140625" customWidth="1"/>
    <col min="12037" max="12037" width="11.42578125" customWidth="1"/>
    <col min="12038" max="12038" width="13" customWidth="1"/>
    <col min="12039" max="12039" width="15.28515625" customWidth="1"/>
    <col min="12040" max="12044" width="11" customWidth="1"/>
    <col min="12045" max="12045" width="10.85546875" customWidth="1"/>
    <col min="12046" max="12046" width="11.140625" customWidth="1"/>
    <col min="12047" max="12047" width="12.140625" customWidth="1"/>
    <col min="12048" max="12048" width="12.85546875" customWidth="1"/>
    <col min="12289" max="12289" width="5.85546875" customWidth="1"/>
    <col min="12290" max="12290" width="10.85546875" customWidth="1"/>
    <col min="12291" max="12291" width="45.28515625" customWidth="1"/>
    <col min="12292" max="12292" width="12.140625" customWidth="1"/>
    <col min="12293" max="12293" width="11.42578125" customWidth="1"/>
    <col min="12294" max="12294" width="13" customWidth="1"/>
    <col min="12295" max="12295" width="15.28515625" customWidth="1"/>
    <col min="12296" max="12300" width="11" customWidth="1"/>
    <col min="12301" max="12301" width="10.85546875" customWidth="1"/>
    <col min="12302" max="12302" width="11.140625" customWidth="1"/>
    <col min="12303" max="12303" width="12.140625" customWidth="1"/>
    <col min="12304" max="12304" width="12.85546875" customWidth="1"/>
    <col min="12545" max="12545" width="5.85546875" customWidth="1"/>
    <col min="12546" max="12546" width="10.85546875" customWidth="1"/>
    <col min="12547" max="12547" width="45.28515625" customWidth="1"/>
    <col min="12548" max="12548" width="12.140625" customWidth="1"/>
    <col min="12549" max="12549" width="11.42578125" customWidth="1"/>
    <col min="12550" max="12550" width="13" customWidth="1"/>
    <col min="12551" max="12551" width="15.28515625" customWidth="1"/>
    <col min="12552" max="12556" width="11" customWidth="1"/>
    <col min="12557" max="12557" width="10.85546875" customWidth="1"/>
    <col min="12558" max="12558" width="11.140625" customWidth="1"/>
    <col min="12559" max="12559" width="12.140625" customWidth="1"/>
    <col min="12560" max="12560" width="12.85546875" customWidth="1"/>
    <col min="12801" max="12801" width="5.85546875" customWidth="1"/>
    <col min="12802" max="12802" width="10.85546875" customWidth="1"/>
    <col min="12803" max="12803" width="45.28515625" customWidth="1"/>
    <col min="12804" max="12804" width="12.140625" customWidth="1"/>
    <col min="12805" max="12805" width="11.42578125" customWidth="1"/>
    <col min="12806" max="12806" width="13" customWidth="1"/>
    <col min="12807" max="12807" width="15.28515625" customWidth="1"/>
    <col min="12808" max="12812" width="11" customWidth="1"/>
    <col min="12813" max="12813" width="10.85546875" customWidth="1"/>
    <col min="12814" max="12814" width="11.140625" customWidth="1"/>
    <col min="12815" max="12815" width="12.140625" customWidth="1"/>
    <col min="12816" max="12816" width="12.85546875" customWidth="1"/>
    <col min="13057" max="13057" width="5.85546875" customWidth="1"/>
    <col min="13058" max="13058" width="10.85546875" customWidth="1"/>
    <col min="13059" max="13059" width="45.28515625" customWidth="1"/>
    <col min="13060" max="13060" width="12.140625" customWidth="1"/>
    <col min="13061" max="13061" width="11.42578125" customWidth="1"/>
    <col min="13062" max="13062" width="13" customWidth="1"/>
    <col min="13063" max="13063" width="15.28515625" customWidth="1"/>
    <col min="13064" max="13068" width="11" customWidth="1"/>
    <col min="13069" max="13069" width="10.85546875" customWidth="1"/>
    <col min="13070" max="13070" width="11.140625" customWidth="1"/>
    <col min="13071" max="13071" width="12.140625" customWidth="1"/>
    <col min="13072" max="13072" width="12.85546875" customWidth="1"/>
    <col min="13313" max="13313" width="5.85546875" customWidth="1"/>
    <col min="13314" max="13314" width="10.85546875" customWidth="1"/>
    <col min="13315" max="13315" width="45.28515625" customWidth="1"/>
    <col min="13316" max="13316" width="12.140625" customWidth="1"/>
    <col min="13317" max="13317" width="11.42578125" customWidth="1"/>
    <col min="13318" max="13318" width="13" customWidth="1"/>
    <col min="13319" max="13319" width="15.28515625" customWidth="1"/>
    <col min="13320" max="13324" width="11" customWidth="1"/>
    <col min="13325" max="13325" width="10.85546875" customWidth="1"/>
    <col min="13326" max="13326" width="11.140625" customWidth="1"/>
    <col min="13327" max="13327" width="12.140625" customWidth="1"/>
    <col min="13328" max="13328" width="12.85546875" customWidth="1"/>
    <col min="13569" max="13569" width="5.85546875" customWidth="1"/>
    <col min="13570" max="13570" width="10.85546875" customWidth="1"/>
    <col min="13571" max="13571" width="45.28515625" customWidth="1"/>
    <col min="13572" max="13572" width="12.140625" customWidth="1"/>
    <col min="13573" max="13573" width="11.42578125" customWidth="1"/>
    <col min="13574" max="13574" width="13" customWidth="1"/>
    <col min="13575" max="13575" width="15.28515625" customWidth="1"/>
    <col min="13576" max="13580" width="11" customWidth="1"/>
    <col min="13581" max="13581" width="10.85546875" customWidth="1"/>
    <col min="13582" max="13582" width="11.140625" customWidth="1"/>
    <col min="13583" max="13583" width="12.140625" customWidth="1"/>
    <col min="13584" max="13584" width="12.85546875" customWidth="1"/>
    <col min="13825" max="13825" width="5.85546875" customWidth="1"/>
    <col min="13826" max="13826" width="10.85546875" customWidth="1"/>
    <col min="13827" max="13827" width="45.28515625" customWidth="1"/>
    <col min="13828" max="13828" width="12.140625" customWidth="1"/>
    <col min="13829" max="13829" width="11.42578125" customWidth="1"/>
    <col min="13830" max="13830" width="13" customWidth="1"/>
    <col min="13831" max="13831" width="15.28515625" customWidth="1"/>
    <col min="13832" max="13836" width="11" customWidth="1"/>
    <col min="13837" max="13837" width="10.85546875" customWidth="1"/>
    <col min="13838" max="13838" width="11.140625" customWidth="1"/>
    <col min="13839" max="13839" width="12.140625" customWidth="1"/>
    <col min="13840" max="13840" width="12.85546875" customWidth="1"/>
    <col min="14081" max="14081" width="5.85546875" customWidth="1"/>
    <col min="14082" max="14082" width="10.85546875" customWidth="1"/>
    <col min="14083" max="14083" width="45.28515625" customWidth="1"/>
    <col min="14084" max="14084" width="12.140625" customWidth="1"/>
    <col min="14085" max="14085" width="11.42578125" customWidth="1"/>
    <col min="14086" max="14086" width="13" customWidth="1"/>
    <col min="14087" max="14087" width="15.28515625" customWidth="1"/>
    <col min="14088" max="14092" width="11" customWidth="1"/>
    <col min="14093" max="14093" width="10.85546875" customWidth="1"/>
    <col min="14094" max="14094" width="11.140625" customWidth="1"/>
    <col min="14095" max="14095" width="12.140625" customWidth="1"/>
    <col min="14096" max="14096" width="12.85546875" customWidth="1"/>
    <col min="14337" max="14337" width="5.85546875" customWidth="1"/>
    <col min="14338" max="14338" width="10.85546875" customWidth="1"/>
    <col min="14339" max="14339" width="45.28515625" customWidth="1"/>
    <col min="14340" max="14340" width="12.140625" customWidth="1"/>
    <col min="14341" max="14341" width="11.42578125" customWidth="1"/>
    <col min="14342" max="14342" width="13" customWidth="1"/>
    <col min="14343" max="14343" width="15.28515625" customWidth="1"/>
    <col min="14344" max="14348" width="11" customWidth="1"/>
    <col min="14349" max="14349" width="10.85546875" customWidth="1"/>
    <col min="14350" max="14350" width="11.140625" customWidth="1"/>
    <col min="14351" max="14351" width="12.140625" customWidth="1"/>
    <col min="14352" max="14352" width="12.85546875" customWidth="1"/>
    <col min="14593" max="14593" width="5.85546875" customWidth="1"/>
    <col min="14594" max="14594" width="10.85546875" customWidth="1"/>
    <col min="14595" max="14595" width="45.28515625" customWidth="1"/>
    <col min="14596" max="14596" width="12.140625" customWidth="1"/>
    <col min="14597" max="14597" width="11.42578125" customWidth="1"/>
    <col min="14598" max="14598" width="13" customWidth="1"/>
    <col min="14599" max="14599" width="15.28515625" customWidth="1"/>
    <col min="14600" max="14604" width="11" customWidth="1"/>
    <col min="14605" max="14605" width="10.85546875" customWidth="1"/>
    <col min="14606" max="14606" width="11.140625" customWidth="1"/>
    <col min="14607" max="14607" width="12.140625" customWidth="1"/>
    <col min="14608" max="14608" width="12.85546875" customWidth="1"/>
    <col min="14849" max="14849" width="5.85546875" customWidth="1"/>
    <col min="14850" max="14850" width="10.85546875" customWidth="1"/>
    <col min="14851" max="14851" width="45.28515625" customWidth="1"/>
    <col min="14852" max="14852" width="12.140625" customWidth="1"/>
    <col min="14853" max="14853" width="11.42578125" customWidth="1"/>
    <col min="14854" max="14854" width="13" customWidth="1"/>
    <col min="14855" max="14855" width="15.28515625" customWidth="1"/>
    <col min="14856" max="14860" width="11" customWidth="1"/>
    <col min="14861" max="14861" width="10.85546875" customWidth="1"/>
    <col min="14862" max="14862" width="11.140625" customWidth="1"/>
    <col min="14863" max="14863" width="12.140625" customWidth="1"/>
    <col min="14864" max="14864" width="12.85546875" customWidth="1"/>
    <col min="15105" max="15105" width="5.85546875" customWidth="1"/>
    <col min="15106" max="15106" width="10.85546875" customWidth="1"/>
    <col min="15107" max="15107" width="45.28515625" customWidth="1"/>
    <col min="15108" max="15108" width="12.140625" customWidth="1"/>
    <col min="15109" max="15109" width="11.42578125" customWidth="1"/>
    <col min="15110" max="15110" width="13" customWidth="1"/>
    <col min="15111" max="15111" width="15.28515625" customWidth="1"/>
    <col min="15112" max="15116" width="11" customWidth="1"/>
    <col min="15117" max="15117" width="10.85546875" customWidth="1"/>
    <col min="15118" max="15118" width="11.140625" customWidth="1"/>
    <col min="15119" max="15119" width="12.140625" customWidth="1"/>
    <col min="15120" max="15120" width="12.85546875" customWidth="1"/>
    <col min="15361" max="15361" width="5.85546875" customWidth="1"/>
    <col min="15362" max="15362" width="10.85546875" customWidth="1"/>
    <col min="15363" max="15363" width="45.28515625" customWidth="1"/>
    <col min="15364" max="15364" width="12.140625" customWidth="1"/>
    <col min="15365" max="15365" width="11.42578125" customWidth="1"/>
    <col min="15366" max="15366" width="13" customWidth="1"/>
    <col min="15367" max="15367" width="15.28515625" customWidth="1"/>
    <col min="15368" max="15372" width="11" customWidth="1"/>
    <col min="15373" max="15373" width="10.85546875" customWidth="1"/>
    <col min="15374" max="15374" width="11.140625" customWidth="1"/>
    <col min="15375" max="15375" width="12.140625" customWidth="1"/>
    <col min="15376" max="15376" width="12.85546875" customWidth="1"/>
    <col min="15617" max="15617" width="5.85546875" customWidth="1"/>
    <col min="15618" max="15618" width="10.85546875" customWidth="1"/>
    <col min="15619" max="15619" width="45.28515625" customWidth="1"/>
    <col min="15620" max="15620" width="12.140625" customWidth="1"/>
    <col min="15621" max="15621" width="11.42578125" customWidth="1"/>
    <col min="15622" max="15622" width="13" customWidth="1"/>
    <col min="15623" max="15623" width="15.28515625" customWidth="1"/>
    <col min="15624" max="15628" width="11" customWidth="1"/>
    <col min="15629" max="15629" width="10.85546875" customWidth="1"/>
    <col min="15630" max="15630" width="11.140625" customWidth="1"/>
    <col min="15631" max="15631" width="12.140625" customWidth="1"/>
    <col min="15632" max="15632" width="12.85546875" customWidth="1"/>
    <col min="15873" max="15873" width="5.85546875" customWidth="1"/>
    <col min="15874" max="15874" width="10.85546875" customWidth="1"/>
    <col min="15875" max="15875" width="45.28515625" customWidth="1"/>
    <col min="15876" max="15876" width="12.140625" customWidth="1"/>
    <col min="15877" max="15877" width="11.42578125" customWidth="1"/>
    <col min="15878" max="15878" width="13" customWidth="1"/>
    <col min="15879" max="15879" width="15.28515625" customWidth="1"/>
    <col min="15880" max="15884" width="11" customWidth="1"/>
    <col min="15885" max="15885" width="10.85546875" customWidth="1"/>
    <col min="15886" max="15886" width="11.140625" customWidth="1"/>
    <col min="15887" max="15887" width="12.140625" customWidth="1"/>
    <col min="15888" max="15888" width="12.85546875" customWidth="1"/>
    <col min="16129" max="16129" width="5.85546875" customWidth="1"/>
    <col min="16130" max="16130" width="10.85546875" customWidth="1"/>
    <col min="16131" max="16131" width="45.28515625" customWidth="1"/>
    <col min="16132" max="16132" width="12.140625" customWidth="1"/>
    <col min="16133" max="16133" width="11.42578125" customWidth="1"/>
    <col min="16134" max="16134" width="13" customWidth="1"/>
    <col min="16135" max="16135" width="15.28515625" customWidth="1"/>
    <col min="16136" max="16140" width="11" customWidth="1"/>
    <col min="16141" max="16141" width="10.85546875" customWidth="1"/>
    <col min="16142" max="16142" width="11.140625" customWidth="1"/>
    <col min="16143" max="16143" width="12.140625" customWidth="1"/>
    <col min="16144" max="16144" width="12.85546875" customWidth="1"/>
  </cols>
  <sheetData>
    <row r="1" spans="1:16" x14ac:dyDescent="0.25">
      <c r="O1" s="1" t="s">
        <v>394</v>
      </c>
    </row>
    <row r="2" spans="1:16" x14ac:dyDescent="0.25">
      <c r="O2" s="1" t="s">
        <v>1176</v>
      </c>
    </row>
    <row r="3" spans="1:16" x14ac:dyDescent="0.25">
      <c r="O3" s="239" t="s">
        <v>395</v>
      </c>
    </row>
    <row r="4" spans="1:16" x14ac:dyDescent="0.25">
      <c r="O4" s="1" t="s">
        <v>279</v>
      </c>
    </row>
    <row r="5" spans="1:16" ht="15.75" x14ac:dyDescent="0.25">
      <c r="C5" s="147" t="s">
        <v>396</v>
      </c>
    </row>
    <row r="7" spans="1:16" ht="42.6" customHeight="1" x14ac:dyDescent="0.25">
      <c r="A7" s="148"/>
      <c r="B7" s="149" t="s">
        <v>397</v>
      </c>
      <c r="C7" s="149" t="s">
        <v>398</v>
      </c>
      <c r="D7" s="149" t="s">
        <v>399</v>
      </c>
      <c r="E7" s="150" t="s">
        <v>400</v>
      </c>
      <c r="F7" s="149" t="s">
        <v>401</v>
      </c>
      <c r="G7" s="149"/>
      <c r="H7" s="151">
        <v>2023</v>
      </c>
      <c r="I7" s="151">
        <v>2024</v>
      </c>
      <c r="J7" s="151">
        <v>2025</v>
      </c>
      <c r="K7" s="151">
        <v>2026</v>
      </c>
      <c r="L7" s="151">
        <v>2027</v>
      </c>
      <c r="M7" s="151">
        <v>2028</v>
      </c>
      <c r="N7" s="151">
        <v>2029</v>
      </c>
      <c r="O7" s="152" t="s">
        <v>402</v>
      </c>
      <c r="P7" s="151" t="s">
        <v>403</v>
      </c>
    </row>
    <row r="8" spans="1:16" ht="12.6" customHeight="1" x14ac:dyDescent="0.25">
      <c r="A8" s="153">
        <v>1</v>
      </c>
      <c r="B8" s="154">
        <v>2</v>
      </c>
      <c r="C8" s="154">
        <v>3</v>
      </c>
      <c r="D8" s="154">
        <v>4</v>
      </c>
      <c r="E8" s="155" t="s">
        <v>404</v>
      </c>
      <c r="F8" s="154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156">
        <v>14</v>
      </c>
      <c r="O8" s="156">
        <v>15</v>
      </c>
      <c r="P8" s="156">
        <v>16</v>
      </c>
    </row>
    <row r="9" spans="1:16" ht="18.75" customHeight="1" x14ac:dyDescent="0.25">
      <c r="A9" s="469">
        <v>1</v>
      </c>
      <c r="B9" s="470" t="s">
        <v>405</v>
      </c>
      <c r="C9" s="471" t="s">
        <v>406</v>
      </c>
      <c r="D9" s="472">
        <v>36607</v>
      </c>
      <c r="E9" s="472" t="s">
        <v>407</v>
      </c>
      <c r="F9" s="473" t="s">
        <v>408</v>
      </c>
      <c r="G9" s="157" t="s">
        <v>409</v>
      </c>
      <c r="H9" s="158">
        <v>68349</v>
      </c>
      <c r="I9" s="158">
        <v>68349</v>
      </c>
      <c r="J9" s="158">
        <v>68349</v>
      </c>
      <c r="K9" s="158">
        <v>68349</v>
      </c>
      <c r="L9" s="158">
        <v>68349</v>
      </c>
      <c r="M9" s="158">
        <v>68349</v>
      </c>
      <c r="N9" s="158">
        <v>68349</v>
      </c>
      <c r="O9" s="158">
        <f>468779-68349</f>
        <v>400430</v>
      </c>
      <c r="P9" s="158">
        <f t="shared" ref="P9:P19" si="0">SUM(H9:O9)</f>
        <v>878873</v>
      </c>
    </row>
    <row r="10" spans="1:16" ht="15.75" customHeight="1" x14ac:dyDescent="0.25">
      <c r="A10" s="469"/>
      <c r="B10" s="470"/>
      <c r="C10" s="471"/>
      <c r="D10" s="472"/>
      <c r="E10" s="472"/>
      <c r="F10" s="473"/>
      <c r="G10" s="159" t="s">
        <v>410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f t="shared" si="0"/>
        <v>0</v>
      </c>
    </row>
    <row r="11" spans="1:16" ht="15.75" customHeight="1" x14ac:dyDescent="0.25">
      <c r="A11" s="469"/>
      <c r="B11" s="470"/>
      <c r="C11" s="471"/>
      <c r="D11" s="472"/>
      <c r="E11" s="472"/>
      <c r="F11" s="473"/>
      <c r="G11" s="161" t="s">
        <v>411</v>
      </c>
      <c r="H11" s="162">
        <f t="shared" ref="H11:O11" si="1">SUM(H9:H10)</f>
        <v>68349</v>
      </c>
      <c r="I11" s="162">
        <f t="shared" si="1"/>
        <v>68349</v>
      </c>
      <c r="J11" s="162">
        <f t="shared" si="1"/>
        <v>68349</v>
      </c>
      <c r="K11" s="162">
        <f t="shared" si="1"/>
        <v>68349</v>
      </c>
      <c r="L11" s="162">
        <f t="shared" si="1"/>
        <v>68349</v>
      </c>
      <c r="M11" s="162">
        <f t="shared" si="1"/>
        <v>68349</v>
      </c>
      <c r="N11" s="162">
        <f t="shared" si="1"/>
        <v>68349</v>
      </c>
      <c r="O11" s="162">
        <f t="shared" si="1"/>
        <v>400430</v>
      </c>
      <c r="P11" s="162">
        <f t="shared" si="0"/>
        <v>878873</v>
      </c>
    </row>
    <row r="12" spans="1:16" ht="16.5" customHeight="1" x14ac:dyDescent="0.25">
      <c r="A12" s="469">
        <f>A9+1</f>
        <v>2</v>
      </c>
      <c r="B12" s="470" t="s">
        <v>405</v>
      </c>
      <c r="C12" s="471" t="s">
        <v>412</v>
      </c>
      <c r="D12" s="472">
        <v>38587</v>
      </c>
      <c r="E12" s="474" t="s">
        <v>413</v>
      </c>
      <c r="F12" s="163" t="s">
        <v>414</v>
      </c>
      <c r="G12" s="157" t="s">
        <v>409</v>
      </c>
      <c r="H12" s="158">
        <v>4161</v>
      </c>
      <c r="I12" s="158">
        <v>2857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58">
        <f t="shared" si="0"/>
        <v>7018</v>
      </c>
    </row>
    <row r="13" spans="1:16" ht="15" customHeight="1" x14ac:dyDescent="0.25">
      <c r="A13" s="469"/>
      <c r="B13" s="470"/>
      <c r="C13" s="471"/>
      <c r="D13" s="472"/>
      <c r="E13" s="474"/>
      <c r="F13" s="165" t="s">
        <v>415</v>
      </c>
      <c r="G13" s="159" t="s">
        <v>410</v>
      </c>
      <c r="H13" s="160">
        <f>142+23-3</f>
        <v>162</v>
      </c>
      <c r="I13" s="160">
        <f>89+6</f>
        <v>95</v>
      </c>
      <c r="J13" s="166"/>
      <c r="K13" s="166"/>
      <c r="L13" s="166"/>
      <c r="M13" s="166"/>
      <c r="N13" s="166"/>
      <c r="O13" s="166"/>
      <c r="P13" s="160">
        <f t="shared" si="0"/>
        <v>257</v>
      </c>
    </row>
    <row r="14" spans="1:16" ht="16.5" customHeight="1" x14ac:dyDescent="0.25">
      <c r="A14" s="469"/>
      <c r="B14" s="470"/>
      <c r="C14" s="471"/>
      <c r="D14" s="472"/>
      <c r="E14" s="474"/>
      <c r="F14" s="161"/>
      <c r="G14" s="161" t="s">
        <v>411</v>
      </c>
      <c r="H14" s="162">
        <f t="shared" ref="H14:O14" si="2">SUM(H12:H13)</f>
        <v>4323</v>
      </c>
      <c r="I14" s="162">
        <f t="shared" si="2"/>
        <v>2952</v>
      </c>
      <c r="J14" s="162">
        <f t="shared" si="2"/>
        <v>0</v>
      </c>
      <c r="K14" s="162">
        <f t="shared" si="2"/>
        <v>0</v>
      </c>
      <c r="L14" s="162">
        <f t="shared" si="2"/>
        <v>0</v>
      </c>
      <c r="M14" s="162">
        <f t="shared" si="2"/>
        <v>0</v>
      </c>
      <c r="N14" s="162">
        <f t="shared" si="2"/>
        <v>0</v>
      </c>
      <c r="O14" s="162">
        <f t="shared" si="2"/>
        <v>0</v>
      </c>
      <c r="P14" s="162">
        <f t="shared" si="0"/>
        <v>7275</v>
      </c>
    </row>
    <row r="15" spans="1:16" ht="19.5" customHeight="1" x14ac:dyDescent="0.25">
      <c r="A15" s="469">
        <f>A12+1</f>
        <v>3</v>
      </c>
      <c r="B15" s="470" t="s">
        <v>405</v>
      </c>
      <c r="C15" s="471" t="s">
        <v>416</v>
      </c>
      <c r="D15" s="475">
        <v>39191</v>
      </c>
      <c r="E15" s="478" t="s">
        <v>417</v>
      </c>
      <c r="F15" s="163" t="s">
        <v>418</v>
      </c>
      <c r="G15" s="157" t="s">
        <v>409</v>
      </c>
      <c r="H15" s="158">
        <v>8404</v>
      </c>
      <c r="I15" s="158">
        <v>8404</v>
      </c>
      <c r="J15" s="158">
        <v>8404</v>
      </c>
      <c r="K15" s="158">
        <v>8404</v>
      </c>
      <c r="L15" s="158">
        <v>2101</v>
      </c>
      <c r="M15" s="158">
        <v>0</v>
      </c>
      <c r="N15" s="158">
        <v>0</v>
      </c>
      <c r="O15" s="164">
        <v>0</v>
      </c>
      <c r="P15" s="158">
        <f t="shared" si="0"/>
        <v>35717</v>
      </c>
    </row>
    <row r="16" spans="1:16" ht="15.75" customHeight="1" x14ac:dyDescent="0.25">
      <c r="A16" s="469"/>
      <c r="B16" s="470"/>
      <c r="C16" s="471"/>
      <c r="D16" s="476"/>
      <c r="E16" s="479"/>
      <c r="F16" s="165" t="s">
        <v>419</v>
      </c>
      <c r="G16" s="159" t="s">
        <v>410</v>
      </c>
      <c r="H16" s="160">
        <f>792+142</f>
        <v>934</v>
      </c>
      <c r="I16" s="160">
        <f>1044+66</f>
        <v>1110</v>
      </c>
      <c r="J16" s="160">
        <f>705+45</f>
        <v>750</v>
      </c>
      <c r="K16" s="160">
        <v>393</v>
      </c>
      <c r="L16" s="160">
        <v>62</v>
      </c>
      <c r="M16" s="160">
        <v>0</v>
      </c>
      <c r="N16" s="160">
        <v>0</v>
      </c>
      <c r="O16" s="166">
        <v>0</v>
      </c>
      <c r="P16" s="160">
        <f t="shared" si="0"/>
        <v>3249</v>
      </c>
    </row>
    <row r="17" spans="1:16" ht="15.75" customHeight="1" x14ac:dyDescent="0.25">
      <c r="A17" s="469"/>
      <c r="B17" s="470"/>
      <c r="C17" s="471"/>
      <c r="D17" s="477"/>
      <c r="E17" s="480"/>
      <c r="F17" s="161"/>
      <c r="G17" s="161" t="s">
        <v>411</v>
      </c>
      <c r="H17" s="162">
        <f t="shared" ref="H17:O17" si="3">SUM(H15:H16)</f>
        <v>9338</v>
      </c>
      <c r="I17" s="162">
        <f t="shared" si="3"/>
        <v>9514</v>
      </c>
      <c r="J17" s="162">
        <f t="shared" si="3"/>
        <v>9154</v>
      </c>
      <c r="K17" s="162">
        <f t="shared" si="3"/>
        <v>8797</v>
      </c>
      <c r="L17" s="162">
        <f t="shared" si="3"/>
        <v>2163</v>
      </c>
      <c r="M17" s="162">
        <f t="shared" si="3"/>
        <v>0</v>
      </c>
      <c r="N17" s="162">
        <f>SUM(N15:N16)</f>
        <v>0</v>
      </c>
      <c r="O17" s="162">
        <f t="shared" si="3"/>
        <v>0</v>
      </c>
      <c r="P17" s="162">
        <f t="shared" si="0"/>
        <v>38966</v>
      </c>
    </row>
    <row r="18" spans="1:16" ht="15" customHeight="1" x14ac:dyDescent="0.25">
      <c r="A18" s="469">
        <f>A15+1</f>
        <v>4</v>
      </c>
      <c r="B18" s="470" t="s">
        <v>405</v>
      </c>
      <c r="C18" s="471" t="s">
        <v>420</v>
      </c>
      <c r="D18" s="475">
        <v>39238</v>
      </c>
      <c r="E18" s="478" t="s">
        <v>421</v>
      </c>
      <c r="F18" s="163" t="s">
        <v>422</v>
      </c>
      <c r="G18" s="157" t="s">
        <v>409</v>
      </c>
      <c r="H18" s="158">
        <v>18725</v>
      </c>
      <c r="I18" s="158">
        <v>18725</v>
      </c>
      <c r="J18" s="158">
        <v>18725</v>
      </c>
      <c r="K18" s="158">
        <v>18725</v>
      </c>
      <c r="L18" s="158">
        <v>4624</v>
      </c>
      <c r="M18" s="158">
        <v>0</v>
      </c>
      <c r="N18" s="158">
        <v>0</v>
      </c>
      <c r="O18" s="164">
        <v>0</v>
      </c>
      <c r="P18" s="158">
        <f t="shared" si="0"/>
        <v>79524</v>
      </c>
    </row>
    <row r="19" spans="1:16" ht="14.25" customHeight="1" x14ac:dyDescent="0.25">
      <c r="A19" s="469"/>
      <c r="B19" s="470"/>
      <c r="C19" s="471"/>
      <c r="D19" s="476"/>
      <c r="E19" s="479"/>
      <c r="F19" s="165" t="s">
        <v>423</v>
      </c>
      <c r="G19" s="159" t="s">
        <v>410</v>
      </c>
      <c r="H19" s="160">
        <v>2072</v>
      </c>
      <c r="I19" s="160">
        <f>2400+147</f>
        <v>2547</v>
      </c>
      <c r="J19" s="160">
        <f>1634+99</f>
        <v>1733</v>
      </c>
      <c r="K19" s="160">
        <v>906</v>
      </c>
      <c r="L19" s="160">
        <v>159</v>
      </c>
      <c r="M19" s="160">
        <v>0</v>
      </c>
      <c r="N19" s="160">
        <v>0</v>
      </c>
      <c r="O19" s="166">
        <v>0</v>
      </c>
      <c r="P19" s="160">
        <f t="shared" si="0"/>
        <v>7417</v>
      </c>
    </row>
    <row r="20" spans="1:16" ht="14.25" customHeight="1" x14ac:dyDescent="0.25">
      <c r="A20" s="469"/>
      <c r="B20" s="470"/>
      <c r="C20" s="471"/>
      <c r="D20" s="477"/>
      <c r="E20" s="480"/>
      <c r="F20" s="161"/>
      <c r="G20" s="161" t="s">
        <v>411</v>
      </c>
      <c r="H20" s="162">
        <f t="shared" ref="H20:P20" si="4">SUM(H18:H19)</f>
        <v>20797</v>
      </c>
      <c r="I20" s="162">
        <f t="shared" si="4"/>
        <v>21272</v>
      </c>
      <c r="J20" s="162">
        <f t="shared" si="4"/>
        <v>20458</v>
      </c>
      <c r="K20" s="162">
        <f t="shared" si="4"/>
        <v>19631</v>
      </c>
      <c r="L20" s="162">
        <f t="shared" si="4"/>
        <v>4783</v>
      </c>
      <c r="M20" s="162">
        <f t="shared" si="4"/>
        <v>0</v>
      </c>
      <c r="N20" s="162">
        <f>SUM(N18:N19)</f>
        <v>0</v>
      </c>
      <c r="O20" s="162">
        <f t="shared" si="4"/>
        <v>0</v>
      </c>
      <c r="P20" s="162">
        <f t="shared" si="4"/>
        <v>86941</v>
      </c>
    </row>
    <row r="21" spans="1:16" ht="17.25" customHeight="1" x14ac:dyDescent="0.25">
      <c r="A21" s="469">
        <f>A18+1</f>
        <v>5</v>
      </c>
      <c r="B21" s="470" t="s">
        <v>405</v>
      </c>
      <c r="C21" s="471" t="s">
        <v>424</v>
      </c>
      <c r="D21" s="472">
        <v>39238</v>
      </c>
      <c r="E21" s="474" t="s">
        <v>421</v>
      </c>
      <c r="F21" s="163" t="s">
        <v>425</v>
      </c>
      <c r="G21" s="157" t="s">
        <v>409</v>
      </c>
      <c r="H21" s="158">
        <v>3745</v>
      </c>
      <c r="I21" s="158">
        <v>3745</v>
      </c>
      <c r="J21" s="158">
        <v>3745</v>
      </c>
      <c r="K21" s="158">
        <v>3745</v>
      </c>
      <c r="L21" s="164">
        <v>924</v>
      </c>
      <c r="M21" s="164">
        <v>0</v>
      </c>
      <c r="N21" s="164">
        <v>0</v>
      </c>
      <c r="O21" s="164">
        <v>0</v>
      </c>
      <c r="P21" s="158">
        <f>SUM(H21:O21)</f>
        <v>15904</v>
      </c>
    </row>
    <row r="22" spans="1:16" ht="15.75" customHeight="1" x14ac:dyDescent="0.25">
      <c r="A22" s="469"/>
      <c r="B22" s="470"/>
      <c r="C22" s="471"/>
      <c r="D22" s="472"/>
      <c r="E22" s="474"/>
      <c r="F22" s="165" t="s">
        <v>426</v>
      </c>
      <c r="G22" s="159" t="s">
        <v>410</v>
      </c>
      <c r="H22" s="160">
        <v>414</v>
      </c>
      <c r="I22" s="160">
        <f>480+29</f>
        <v>509</v>
      </c>
      <c r="J22" s="160">
        <f>327+20</f>
        <v>347</v>
      </c>
      <c r="K22" s="160">
        <v>181</v>
      </c>
      <c r="L22" s="166">
        <v>32</v>
      </c>
      <c r="M22" s="166">
        <v>0</v>
      </c>
      <c r="N22" s="166">
        <v>0</v>
      </c>
      <c r="O22" s="166">
        <v>0</v>
      </c>
      <c r="P22" s="160">
        <f>SUM(H22:O22)</f>
        <v>1483</v>
      </c>
    </row>
    <row r="23" spans="1:16" ht="15.75" customHeight="1" x14ac:dyDescent="0.25">
      <c r="A23" s="469"/>
      <c r="B23" s="470"/>
      <c r="C23" s="471"/>
      <c r="D23" s="472"/>
      <c r="E23" s="474"/>
      <c r="F23" s="161"/>
      <c r="G23" s="161" t="s">
        <v>411</v>
      </c>
      <c r="H23" s="162">
        <f t="shared" ref="H23:P23" si="5">SUM(H21:H22)</f>
        <v>4159</v>
      </c>
      <c r="I23" s="162">
        <f t="shared" si="5"/>
        <v>4254</v>
      </c>
      <c r="J23" s="162">
        <f t="shared" si="5"/>
        <v>4092</v>
      </c>
      <c r="K23" s="162">
        <f t="shared" si="5"/>
        <v>3926</v>
      </c>
      <c r="L23" s="162">
        <f t="shared" si="5"/>
        <v>956</v>
      </c>
      <c r="M23" s="162">
        <f t="shared" si="5"/>
        <v>0</v>
      </c>
      <c r="N23" s="162">
        <f>SUM(N21:N22)</f>
        <v>0</v>
      </c>
      <c r="O23" s="162">
        <f t="shared" si="5"/>
        <v>0</v>
      </c>
      <c r="P23" s="162">
        <f t="shared" si="5"/>
        <v>17387</v>
      </c>
    </row>
    <row r="24" spans="1:16" ht="16.5" customHeight="1" x14ac:dyDescent="0.25">
      <c r="A24" s="469">
        <f>A21+1</f>
        <v>6</v>
      </c>
      <c r="B24" s="470" t="s">
        <v>405</v>
      </c>
      <c r="C24" s="471" t="s">
        <v>427</v>
      </c>
      <c r="D24" s="472">
        <v>39328</v>
      </c>
      <c r="E24" s="474" t="s">
        <v>428</v>
      </c>
      <c r="F24" s="163" t="s">
        <v>429</v>
      </c>
      <c r="G24" s="157" t="s">
        <v>409</v>
      </c>
      <c r="H24" s="158">
        <v>23523</v>
      </c>
      <c r="I24" s="158">
        <v>23523</v>
      </c>
      <c r="J24" s="158">
        <v>23523</v>
      </c>
      <c r="K24" s="158">
        <v>23523</v>
      </c>
      <c r="L24" s="158">
        <v>11684</v>
      </c>
      <c r="M24" s="158">
        <v>0</v>
      </c>
      <c r="N24" s="158">
        <v>0</v>
      </c>
      <c r="O24" s="164">
        <v>0</v>
      </c>
      <c r="P24" s="158">
        <f>SUM(H24:O24)</f>
        <v>105776</v>
      </c>
    </row>
    <row r="25" spans="1:16" ht="16.5" customHeight="1" x14ac:dyDescent="0.25">
      <c r="A25" s="469"/>
      <c r="B25" s="470"/>
      <c r="C25" s="471"/>
      <c r="D25" s="472"/>
      <c r="E25" s="474"/>
      <c r="F25" s="165" t="s">
        <v>430</v>
      </c>
      <c r="G25" s="159" t="s">
        <v>410</v>
      </c>
      <c r="H25" s="160">
        <v>1422</v>
      </c>
      <c r="I25" s="160">
        <f>898+200</f>
        <v>1098</v>
      </c>
      <c r="J25" s="160">
        <f>1483+140</f>
        <v>1623</v>
      </c>
      <c r="K25" s="160">
        <v>1332</v>
      </c>
      <c r="L25" s="160">
        <v>348</v>
      </c>
      <c r="M25" s="160">
        <v>0</v>
      </c>
      <c r="N25" s="160">
        <v>0</v>
      </c>
      <c r="O25" s="166">
        <v>0</v>
      </c>
      <c r="P25" s="160">
        <f>SUM(H25:O25)</f>
        <v>5823</v>
      </c>
    </row>
    <row r="26" spans="1:16" ht="16.5" customHeight="1" x14ac:dyDescent="0.25">
      <c r="A26" s="469"/>
      <c r="B26" s="470"/>
      <c r="C26" s="471"/>
      <c r="D26" s="472"/>
      <c r="E26" s="474"/>
      <c r="F26" s="161"/>
      <c r="G26" s="161" t="s">
        <v>411</v>
      </c>
      <c r="H26" s="162">
        <f t="shared" ref="H26:P26" si="6">SUM(H24:H25)</f>
        <v>24945</v>
      </c>
      <c r="I26" s="162">
        <f t="shared" si="6"/>
        <v>24621</v>
      </c>
      <c r="J26" s="162">
        <f t="shared" si="6"/>
        <v>25146</v>
      </c>
      <c r="K26" s="162">
        <f t="shared" si="6"/>
        <v>24855</v>
      </c>
      <c r="L26" s="162">
        <f t="shared" si="6"/>
        <v>12032</v>
      </c>
      <c r="M26" s="162">
        <f t="shared" si="6"/>
        <v>0</v>
      </c>
      <c r="N26" s="162">
        <f>SUM(N24:N25)</f>
        <v>0</v>
      </c>
      <c r="O26" s="162">
        <f t="shared" si="6"/>
        <v>0</v>
      </c>
      <c r="P26" s="162">
        <f t="shared" si="6"/>
        <v>111599</v>
      </c>
    </row>
    <row r="27" spans="1:16" ht="17.25" customHeight="1" x14ac:dyDescent="0.25">
      <c r="A27" s="469">
        <f>A24+1</f>
        <v>7</v>
      </c>
      <c r="B27" s="470" t="s">
        <v>405</v>
      </c>
      <c r="C27" s="481" t="s">
        <v>431</v>
      </c>
      <c r="D27" s="472">
        <v>39328</v>
      </c>
      <c r="E27" s="474" t="s">
        <v>432</v>
      </c>
      <c r="F27" s="163" t="s">
        <v>433</v>
      </c>
      <c r="G27" s="157" t="s">
        <v>409</v>
      </c>
      <c r="H27" s="158">
        <v>33204</v>
      </c>
      <c r="I27" s="158">
        <v>33204</v>
      </c>
      <c r="J27" s="158">
        <v>33204</v>
      </c>
      <c r="K27" s="158">
        <v>33204</v>
      </c>
      <c r="L27" s="158">
        <v>16535</v>
      </c>
      <c r="M27" s="158">
        <v>0</v>
      </c>
      <c r="N27" s="158">
        <v>0</v>
      </c>
      <c r="O27" s="164">
        <v>0</v>
      </c>
      <c r="P27" s="158">
        <f>SUM(H27:O27)</f>
        <v>149351</v>
      </c>
    </row>
    <row r="28" spans="1:16" ht="15.75" customHeight="1" x14ac:dyDescent="0.25">
      <c r="A28" s="469"/>
      <c r="B28" s="470"/>
      <c r="C28" s="481"/>
      <c r="D28" s="472"/>
      <c r="E28" s="474"/>
      <c r="F28" s="165" t="s">
        <v>434</v>
      </c>
      <c r="G28" s="159" t="s">
        <v>410</v>
      </c>
      <c r="H28" s="160">
        <f>2260-67</f>
        <v>2193</v>
      </c>
      <c r="I28" s="160">
        <f>4285+282</f>
        <v>4567</v>
      </c>
      <c r="J28" s="160">
        <f>2996+197</f>
        <v>3193</v>
      </c>
      <c r="K28" s="160">
        <v>1833</v>
      </c>
      <c r="L28" s="160">
        <v>450</v>
      </c>
      <c r="M28" s="160">
        <v>0</v>
      </c>
      <c r="N28" s="160">
        <v>0</v>
      </c>
      <c r="O28" s="166">
        <v>0</v>
      </c>
      <c r="P28" s="160">
        <f>SUM(H28:O28)</f>
        <v>12236</v>
      </c>
    </row>
    <row r="29" spans="1:16" ht="17.25" customHeight="1" x14ac:dyDescent="0.25">
      <c r="A29" s="469"/>
      <c r="B29" s="470"/>
      <c r="C29" s="481"/>
      <c r="D29" s="472"/>
      <c r="E29" s="474"/>
      <c r="F29" s="161"/>
      <c r="G29" s="161" t="s">
        <v>411</v>
      </c>
      <c r="H29" s="162">
        <f t="shared" ref="H29:O29" si="7">SUM(H27:H28)</f>
        <v>35397</v>
      </c>
      <c r="I29" s="162">
        <f t="shared" si="7"/>
        <v>37771</v>
      </c>
      <c r="J29" s="162">
        <f t="shared" si="7"/>
        <v>36397</v>
      </c>
      <c r="K29" s="162">
        <f t="shared" si="7"/>
        <v>35037</v>
      </c>
      <c r="L29" s="162">
        <f t="shared" si="7"/>
        <v>16985</v>
      </c>
      <c r="M29" s="162">
        <f t="shared" si="7"/>
        <v>0</v>
      </c>
      <c r="N29" s="162">
        <f>SUM(N27:N28)</f>
        <v>0</v>
      </c>
      <c r="O29" s="162">
        <f t="shared" si="7"/>
        <v>0</v>
      </c>
      <c r="P29" s="162">
        <f>SUM(P27:P28)</f>
        <v>161587</v>
      </c>
    </row>
    <row r="30" spans="1:16" ht="17.25" customHeight="1" x14ac:dyDescent="0.25">
      <c r="A30" s="469">
        <f>A27+1</f>
        <v>8</v>
      </c>
      <c r="B30" s="470" t="s">
        <v>405</v>
      </c>
      <c r="C30" s="471" t="s">
        <v>416</v>
      </c>
      <c r="D30" s="472">
        <v>39356</v>
      </c>
      <c r="E30" s="474" t="s">
        <v>435</v>
      </c>
      <c r="F30" s="163" t="s">
        <v>436</v>
      </c>
      <c r="G30" s="157" t="s">
        <v>409</v>
      </c>
      <c r="H30" s="158">
        <v>16344</v>
      </c>
      <c r="I30" s="158">
        <v>16344</v>
      </c>
      <c r="J30" s="158">
        <v>16344</v>
      </c>
      <c r="K30" s="158">
        <v>16344</v>
      </c>
      <c r="L30" s="158">
        <v>12258</v>
      </c>
      <c r="M30" s="158">
        <v>0</v>
      </c>
      <c r="N30" s="158">
        <v>0</v>
      </c>
      <c r="O30" s="164">
        <v>0</v>
      </c>
      <c r="P30" s="158">
        <f>SUM(H30:O30)</f>
        <v>77634</v>
      </c>
    </row>
    <row r="31" spans="1:16" ht="17.25" customHeight="1" x14ac:dyDescent="0.25">
      <c r="A31" s="469"/>
      <c r="B31" s="470"/>
      <c r="C31" s="471"/>
      <c r="D31" s="472"/>
      <c r="E31" s="474"/>
      <c r="F31" s="165" t="s">
        <v>437</v>
      </c>
      <c r="G31" s="159" t="s">
        <v>410</v>
      </c>
      <c r="H31" s="160">
        <f>2179+237</f>
        <v>2416</v>
      </c>
      <c r="I31" s="160">
        <f>2456+149</f>
        <v>2605</v>
      </c>
      <c r="J31" s="160">
        <f>1769+107</f>
        <v>1876</v>
      </c>
      <c r="K31" s="160">
        <v>1154</v>
      </c>
      <c r="L31" s="160">
        <v>431</v>
      </c>
      <c r="M31" s="160">
        <v>0</v>
      </c>
      <c r="N31" s="160">
        <v>0</v>
      </c>
      <c r="O31" s="166">
        <v>0</v>
      </c>
      <c r="P31" s="160">
        <f>SUM(H31:O31)</f>
        <v>8482</v>
      </c>
    </row>
    <row r="32" spans="1:16" ht="17.25" customHeight="1" x14ac:dyDescent="0.25">
      <c r="A32" s="469"/>
      <c r="B32" s="470"/>
      <c r="C32" s="471"/>
      <c r="D32" s="472"/>
      <c r="E32" s="474"/>
      <c r="F32" s="161"/>
      <c r="G32" s="161" t="s">
        <v>411</v>
      </c>
      <c r="H32" s="162">
        <f t="shared" ref="H32:O32" si="8">SUM(H30:H31)</f>
        <v>18760</v>
      </c>
      <c r="I32" s="162">
        <f t="shared" si="8"/>
        <v>18949</v>
      </c>
      <c r="J32" s="162">
        <f t="shared" si="8"/>
        <v>18220</v>
      </c>
      <c r="K32" s="162">
        <f t="shared" si="8"/>
        <v>17498</v>
      </c>
      <c r="L32" s="162">
        <f t="shared" si="8"/>
        <v>12689</v>
      </c>
      <c r="M32" s="162">
        <f t="shared" si="8"/>
        <v>0</v>
      </c>
      <c r="N32" s="162">
        <f>SUM(N30:N31)</f>
        <v>0</v>
      </c>
      <c r="O32" s="162">
        <f t="shared" si="8"/>
        <v>0</v>
      </c>
      <c r="P32" s="162">
        <f>SUM(H32:O32)</f>
        <v>86116</v>
      </c>
    </row>
    <row r="33" spans="1:16" ht="17.25" customHeight="1" x14ac:dyDescent="0.25">
      <c r="A33" s="469">
        <f>A30+1</f>
        <v>9</v>
      </c>
      <c r="B33" s="470" t="s">
        <v>405</v>
      </c>
      <c r="C33" s="481" t="s">
        <v>438</v>
      </c>
      <c r="D33" s="472">
        <v>39434</v>
      </c>
      <c r="E33" s="474" t="s">
        <v>439</v>
      </c>
      <c r="F33" s="167" t="s">
        <v>440</v>
      </c>
      <c r="G33" s="157" t="s">
        <v>409</v>
      </c>
      <c r="H33" s="158">
        <v>45532</v>
      </c>
      <c r="I33" s="158">
        <v>45532</v>
      </c>
      <c r="J33" s="158">
        <v>51223</v>
      </c>
      <c r="K33" s="158">
        <v>51223</v>
      </c>
      <c r="L33" s="158">
        <v>64028</v>
      </c>
      <c r="M33" s="158">
        <v>0</v>
      </c>
      <c r="N33" s="158">
        <v>0</v>
      </c>
      <c r="O33" s="164">
        <v>0</v>
      </c>
      <c r="P33" s="158">
        <f>SUM(H33:O33)</f>
        <v>257538</v>
      </c>
    </row>
    <row r="34" spans="1:16" ht="17.25" customHeight="1" x14ac:dyDescent="0.25">
      <c r="A34" s="469"/>
      <c r="B34" s="470"/>
      <c r="C34" s="481"/>
      <c r="D34" s="472"/>
      <c r="E34" s="474"/>
      <c r="F34" s="165" t="s">
        <v>441</v>
      </c>
      <c r="G34" s="159" t="s">
        <v>410</v>
      </c>
      <c r="H34" s="160">
        <f>5792+1051</f>
        <v>6843</v>
      </c>
      <c r="I34" s="160">
        <f>8232+520</f>
        <v>8752</v>
      </c>
      <c r="J34" s="160">
        <f>6339+401</f>
        <v>6740</v>
      </c>
      <c r="K34" s="160">
        <v>4575</v>
      </c>
      <c r="L34" s="160">
        <v>2392</v>
      </c>
      <c r="M34" s="160"/>
      <c r="N34" s="160"/>
      <c r="O34" s="166">
        <v>0</v>
      </c>
      <c r="P34" s="160">
        <f>SUM(H34:O34)</f>
        <v>29302</v>
      </c>
    </row>
    <row r="35" spans="1:16" ht="17.25" customHeight="1" x14ac:dyDescent="0.25">
      <c r="A35" s="469"/>
      <c r="B35" s="482"/>
      <c r="C35" s="483"/>
      <c r="D35" s="475"/>
      <c r="E35" s="478"/>
      <c r="F35" s="168"/>
      <c r="G35" s="168" t="s">
        <v>411</v>
      </c>
      <c r="H35" s="162">
        <f t="shared" ref="H35:P35" si="9">SUM(H33:H34)</f>
        <v>52375</v>
      </c>
      <c r="I35" s="162">
        <f t="shared" si="9"/>
        <v>54284</v>
      </c>
      <c r="J35" s="162">
        <f t="shared" si="9"/>
        <v>57963</v>
      </c>
      <c r="K35" s="162">
        <f t="shared" si="9"/>
        <v>55798</v>
      </c>
      <c r="L35" s="162">
        <f t="shared" si="9"/>
        <v>66420</v>
      </c>
      <c r="M35" s="162">
        <f t="shared" si="9"/>
        <v>0</v>
      </c>
      <c r="N35" s="162">
        <f t="shared" si="9"/>
        <v>0</v>
      </c>
      <c r="O35" s="162">
        <f t="shared" si="9"/>
        <v>0</v>
      </c>
      <c r="P35" s="162">
        <f t="shared" si="9"/>
        <v>286840</v>
      </c>
    </row>
    <row r="36" spans="1:16" ht="17.25" customHeight="1" x14ac:dyDescent="0.25">
      <c r="A36" s="469">
        <f>A33+1</f>
        <v>10</v>
      </c>
      <c r="B36" s="470" t="s">
        <v>405</v>
      </c>
      <c r="C36" s="481" t="s">
        <v>442</v>
      </c>
      <c r="D36" s="472">
        <v>39556</v>
      </c>
      <c r="E36" s="474" t="s">
        <v>443</v>
      </c>
      <c r="F36" s="167" t="s">
        <v>444</v>
      </c>
      <c r="G36" s="157" t="s">
        <v>409</v>
      </c>
      <c r="H36" s="158">
        <v>110871</v>
      </c>
      <c r="I36" s="158">
        <v>110871</v>
      </c>
      <c r="J36" s="158">
        <v>110871</v>
      </c>
      <c r="K36" s="158">
        <v>110871</v>
      </c>
      <c r="L36" s="158">
        <v>110871</v>
      </c>
      <c r="M36" s="158">
        <v>27770</v>
      </c>
      <c r="N36" s="158">
        <v>0</v>
      </c>
      <c r="O36" s="158">
        <v>0</v>
      </c>
      <c r="P36" s="158">
        <f>SUM(H36:O36)</f>
        <v>582125</v>
      </c>
    </row>
    <row r="37" spans="1:16" ht="17.25" customHeight="1" x14ac:dyDescent="0.25">
      <c r="A37" s="469"/>
      <c r="B37" s="470"/>
      <c r="C37" s="481"/>
      <c r="D37" s="472"/>
      <c r="E37" s="474"/>
      <c r="F37" s="165" t="s">
        <v>445</v>
      </c>
      <c r="G37" s="159" t="s">
        <v>410</v>
      </c>
      <c r="H37" s="160">
        <f>8919-265</f>
        <v>8654</v>
      </c>
      <c r="I37" s="160">
        <f>17532+1153</f>
        <v>18685</v>
      </c>
      <c r="J37" s="160">
        <f>13217+870</f>
        <v>14087</v>
      </c>
      <c r="K37" s="160">
        <v>9545</v>
      </c>
      <c r="L37" s="160">
        <v>4990</v>
      </c>
      <c r="M37" s="160">
        <v>1308</v>
      </c>
      <c r="N37" s="160"/>
      <c r="O37" s="160"/>
      <c r="P37" s="160">
        <f>SUM(H37:O37)</f>
        <v>57269</v>
      </c>
    </row>
    <row r="38" spans="1:16" ht="17.25" customHeight="1" x14ac:dyDescent="0.25">
      <c r="A38" s="469"/>
      <c r="B38" s="470"/>
      <c r="C38" s="481"/>
      <c r="D38" s="472"/>
      <c r="E38" s="474"/>
      <c r="F38" s="161"/>
      <c r="G38" s="161" t="s">
        <v>411</v>
      </c>
      <c r="H38" s="162">
        <f t="shared" ref="H38:P38" si="10">SUM(H36:H37)</f>
        <v>119525</v>
      </c>
      <c r="I38" s="162">
        <f t="shared" si="10"/>
        <v>129556</v>
      </c>
      <c r="J38" s="162">
        <f t="shared" si="10"/>
        <v>124958</v>
      </c>
      <c r="K38" s="162">
        <f t="shared" si="10"/>
        <v>120416</v>
      </c>
      <c r="L38" s="162">
        <f t="shared" si="10"/>
        <v>115861</v>
      </c>
      <c r="M38" s="162">
        <f t="shared" si="10"/>
        <v>29078</v>
      </c>
      <c r="N38" s="162">
        <f t="shared" si="10"/>
        <v>0</v>
      </c>
      <c r="O38" s="162">
        <f t="shared" si="10"/>
        <v>0</v>
      </c>
      <c r="P38" s="162">
        <f t="shared" si="10"/>
        <v>639394</v>
      </c>
    </row>
    <row r="39" spans="1:16" ht="17.25" customHeight="1" x14ac:dyDescent="0.25">
      <c r="A39" s="469">
        <f>A36+1</f>
        <v>11</v>
      </c>
      <c r="B39" s="470" t="s">
        <v>405</v>
      </c>
      <c r="C39" s="471" t="s">
        <v>446</v>
      </c>
      <c r="D39" s="472">
        <v>39575</v>
      </c>
      <c r="E39" s="474" t="s">
        <v>447</v>
      </c>
      <c r="F39" s="167" t="s">
        <v>448</v>
      </c>
      <c r="G39" s="157" t="s">
        <v>409</v>
      </c>
      <c r="H39" s="158">
        <v>2212</v>
      </c>
      <c r="I39" s="164">
        <v>0</v>
      </c>
      <c r="J39" s="164">
        <v>0</v>
      </c>
      <c r="K39" s="164">
        <v>0</v>
      </c>
      <c r="L39" s="164">
        <v>0</v>
      </c>
      <c r="M39" s="164"/>
      <c r="N39" s="164"/>
      <c r="O39" s="164">
        <v>0</v>
      </c>
      <c r="P39" s="158">
        <f>SUM(H39:O39)</f>
        <v>2212</v>
      </c>
    </row>
    <row r="40" spans="1:16" ht="17.25" customHeight="1" x14ac:dyDescent="0.25">
      <c r="A40" s="469"/>
      <c r="B40" s="470"/>
      <c r="C40" s="471"/>
      <c r="D40" s="472"/>
      <c r="E40" s="474"/>
      <c r="F40" s="165" t="s">
        <v>449</v>
      </c>
      <c r="G40" s="159" t="s">
        <v>410</v>
      </c>
      <c r="H40" s="160">
        <v>20</v>
      </c>
      <c r="I40" s="166"/>
      <c r="J40" s="166"/>
      <c r="K40" s="166"/>
      <c r="L40" s="166"/>
      <c r="M40" s="166"/>
      <c r="N40" s="166"/>
      <c r="O40" s="166"/>
      <c r="P40" s="160">
        <f>SUM(H40:O40)</f>
        <v>20</v>
      </c>
    </row>
    <row r="41" spans="1:16" ht="17.25" customHeight="1" x14ac:dyDescent="0.25">
      <c r="A41" s="469"/>
      <c r="B41" s="470"/>
      <c r="C41" s="471"/>
      <c r="D41" s="472"/>
      <c r="E41" s="474"/>
      <c r="F41" s="161"/>
      <c r="G41" s="161" t="s">
        <v>411</v>
      </c>
      <c r="H41" s="162">
        <f t="shared" ref="H41:P41" si="11">SUM(H39:H40)</f>
        <v>2232</v>
      </c>
      <c r="I41" s="162">
        <f t="shared" si="11"/>
        <v>0</v>
      </c>
      <c r="J41" s="162">
        <f t="shared" si="11"/>
        <v>0</v>
      </c>
      <c r="K41" s="162">
        <f t="shared" si="11"/>
        <v>0</v>
      </c>
      <c r="L41" s="162">
        <f t="shared" si="11"/>
        <v>0</v>
      </c>
      <c r="M41" s="162">
        <f t="shared" si="11"/>
        <v>0</v>
      </c>
      <c r="N41" s="162">
        <f t="shared" si="11"/>
        <v>0</v>
      </c>
      <c r="O41" s="162">
        <f t="shared" si="11"/>
        <v>0</v>
      </c>
      <c r="P41" s="162">
        <f t="shared" si="11"/>
        <v>2232</v>
      </c>
    </row>
    <row r="42" spans="1:16" ht="17.25" customHeight="1" x14ac:dyDescent="0.25">
      <c r="A42" s="469">
        <f>A39+1</f>
        <v>12</v>
      </c>
      <c r="B42" s="470" t="s">
        <v>405</v>
      </c>
      <c r="C42" s="471" t="s">
        <v>450</v>
      </c>
      <c r="D42" s="472">
        <v>39575</v>
      </c>
      <c r="E42" s="474" t="s">
        <v>451</v>
      </c>
      <c r="F42" s="163" t="s">
        <v>452</v>
      </c>
      <c r="G42" s="157" t="s">
        <v>409</v>
      </c>
      <c r="H42" s="158">
        <v>40654</v>
      </c>
      <c r="I42" s="158">
        <v>40654</v>
      </c>
      <c r="J42" s="158">
        <v>40654</v>
      </c>
      <c r="K42" s="158">
        <v>40654</v>
      </c>
      <c r="L42" s="158">
        <v>40654</v>
      </c>
      <c r="M42" s="158">
        <v>40654</v>
      </c>
      <c r="N42" s="158">
        <v>40654</v>
      </c>
      <c r="O42" s="158">
        <f>142272</f>
        <v>142272</v>
      </c>
      <c r="P42" s="158">
        <f>SUM(H42:O42)</f>
        <v>426850</v>
      </c>
    </row>
    <row r="43" spans="1:16" ht="17.25" customHeight="1" x14ac:dyDescent="0.25">
      <c r="A43" s="469"/>
      <c r="B43" s="470"/>
      <c r="C43" s="471"/>
      <c r="D43" s="472"/>
      <c r="E43" s="474"/>
      <c r="F43" s="165" t="s">
        <v>453</v>
      </c>
      <c r="G43" s="159" t="s">
        <v>410</v>
      </c>
      <c r="H43" s="160">
        <v>5858</v>
      </c>
      <c r="I43" s="160">
        <f>4341+965</f>
        <v>5306</v>
      </c>
      <c r="J43" s="160">
        <f>9481+860</f>
        <v>10341</v>
      </c>
      <c r="K43" s="160">
        <v>12596</v>
      </c>
      <c r="L43" s="160">
        <v>10881</v>
      </c>
      <c r="M43" s="160">
        <v>8723</v>
      </c>
      <c r="N43" s="160">
        <v>7527</v>
      </c>
      <c r="O43" s="160">
        <f>26306</f>
        <v>26306</v>
      </c>
      <c r="P43" s="160">
        <f>SUM(H43:O43)</f>
        <v>87538</v>
      </c>
    </row>
    <row r="44" spans="1:16" ht="17.25" customHeight="1" x14ac:dyDescent="0.25">
      <c r="A44" s="469"/>
      <c r="B44" s="482"/>
      <c r="C44" s="484"/>
      <c r="D44" s="475"/>
      <c r="E44" s="478"/>
      <c r="F44" s="168"/>
      <c r="G44" s="168" t="s">
        <v>411</v>
      </c>
      <c r="H44" s="162">
        <f t="shared" ref="H44:P44" si="12">SUM(H42:H43)</f>
        <v>46512</v>
      </c>
      <c r="I44" s="162">
        <f t="shared" si="12"/>
        <v>45960</v>
      </c>
      <c r="J44" s="162">
        <f t="shared" si="12"/>
        <v>50995</v>
      </c>
      <c r="K44" s="162">
        <f t="shared" si="12"/>
        <v>53250</v>
      </c>
      <c r="L44" s="162">
        <f t="shared" si="12"/>
        <v>51535</v>
      </c>
      <c r="M44" s="162">
        <f t="shared" si="12"/>
        <v>49377</v>
      </c>
      <c r="N44" s="162">
        <f t="shared" si="12"/>
        <v>48181</v>
      </c>
      <c r="O44" s="162">
        <f t="shared" si="12"/>
        <v>168578</v>
      </c>
      <c r="P44" s="162">
        <f t="shared" si="12"/>
        <v>514388</v>
      </c>
    </row>
    <row r="45" spans="1:16" ht="17.25" customHeight="1" x14ac:dyDescent="0.25">
      <c r="A45" s="469">
        <f>A42+1</f>
        <v>13</v>
      </c>
      <c r="B45" s="470" t="s">
        <v>405</v>
      </c>
      <c r="C45" s="471" t="s">
        <v>454</v>
      </c>
      <c r="D45" s="472">
        <v>39596</v>
      </c>
      <c r="E45" s="474" t="s">
        <v>451</v>
      </c>
      <c r="F45" s="163" t="s">
        <v>455</v>
      </c>
      <c r="G45" s="157" t="s">
        <v>409</v>
      </c>
      <c r="H45" s="158">
        <v>17302</v>
      </c>
      <c r="I45" s="158">
        <v>17302</v>
      </c>
      <c r="J45" s="158">
        <v>17302</v>
      </c>
      <c r="K45" s="158">
        <v>17302</v>
      </c>
      <c r="L45" s="158">
        <v>17302</v>
      </c>
      <c r="M45" s="158">
        <v>17302</v>
      </c>
      <c r="N45" s="158">
        <v>17302</v>
      </c>
      <c r="O45" s="158">
        <f>55744</f>
        <v>55744</v>
      </c>
      <c r="P45" s="158">
        <f>SUM(H45:O45)</f>
        <v>176858</v>
      </c>
    </row>
    <row r="46" spans="1:16" ht="17.25" customHeight="1" x14ac:dyDescent="0.25">
      <c r="A46" s="469"/>
      <c r="B46" s="470"/>
      <c r="C46" s="471"/>
      <c r="D46" s="472"/>
      <c r="E46" s="474"/>
      <c r="F46" s="165" t="s">
        <v>456</v>
      </c>
      <c r="G46" s="159" t="s">
        <v>410</v>
      </c>
      <c r="H46" s="160">
        <v>4716</v>
      </c>
      <c r="I46" s="160">
        <f>6507+399</f>
        <v>6906</v>
      </c>
      <c r="J46" s="160">
        <f>5821+354</f>
        <v>6175</v>
      </c>
      <c r="K46" s="160">
        <v>5411</v>
      </c>
      <c r="L46" s="160">
        <v>4645</v>
      </c>
      <c r="M46" s="160">
        <v>3888</v>
      </c>
      <c r="N46" s="160">
        <v>3112</v>
      </c>
      <c r="O46" s="160">
        <f>6078</f>
        <v>6078</v>
      </c>
      <c r="P46" s="160">
        <f>SUM(H46:O46)</f>
        <v>40931</v>
      </c>
    </row>
    <row r="47" spans="1:16" ht="17.25" customHeight="1" x14ac:dyDescent="0.25">
      <c r="A47" s="469"/>
      <c r="B47" s="470"/>
      <c r="C47" s="471"/>
      <c r="D47" s="472"/>
      <c r="E47" s="474"/>
      <c r="F47" s="161"/>
      <c r="G47" s="161" t="s">
        <v>411</v>
      </c>
      <c r="H47" s="162">
        <f t="shared" ref="H47:P47" si="13">SUM(H45:H46)</f>
        <v>22018</v>
      </c>
      <c r="I47" s="162">
        <f t="shared" si="13"/>
        <v>24208</v>
      </c>
      <c r="J47" s="162">
        <f t="shared" si="13"/>
        <v>23477</v>
      </c>
      <c r="K47" s="162">
        <f t="shared" si="13"/>
        <v>22713</v>
      </c>
      <c r="L47" s="162">
        <f t="shared" si="13"/>
        <v>21947</v>
      </c>
      <c r="M47" s="162">
        <f t="shared" si="13"/>
        <v>21190</v>
      </c>
      <c r="N47" s="162">
        <f t="shared" si="13"/>
        <v>20414</v>
      </c>
      <c r="O47" s="162">
        <f t="shared" si="13"/>
        <v>61822</v>
      </c>
      <c r="P47" s="162">
        <f t="shared" si="13"/>
        <v>217789</v>
      </c>
    </row>
    <row r="48" spans="1:16" ht="16.5" customHeight="1" x14ac:dyDescent="0.25">
      <c r="A48" s="469">
        <f>A45+1</f>
        <v>14</v>
      </c>
      <c r="B48" s="470" t="s">
        <v>405</v>
      </c>
      <c r="C48" s="481" t="s">
        <v>438</v>
      </c>
      <c r="D48" s="472">
        <v>39597</v>
      </c>
      <c r="E48" s="474" t="s">
        <v>457</v>
      </c>
      <c r="F48" s="163" t="s">
        <v>458</v>
      </c>
      <c r="G48" s="157" t="s">
        <v>409</v>
      </c>
      <c r="H48" s="158">
        <v>28457</v>
      </c>
      <c r="I48" s="158">
        <v>28458</v>
      </c>
      <c r="J48" s="158">
        <v>28457</v>
      </c>
      <c r="K48" s="158">
        <v>28458</v>
      </c>
      <c r="L48" s="158">
        <v>28457</v>
      </c>
      <c r="M48" s="158">
        <v>28458</v>
      </c>
      <c r="N48" s="158">
        <v>20773</v>
      </c>
      <c r="O48" s="158">
        <v>0</v>
      </c>
      <c r="P48" s="158">
        <f>SUM(H48:O48)</f>
        <v>191518</v>
      </c>
    </row>
    <row r="49" spans="1:16" ht="16.5" customHeight="1" x14ac:dyDescent="0.25">
      <c r="A49" s="469"/>
      <c r="B49" s="470"/>
      <c r="C49" s="481"/>
      <c r="D49" s="472"/>
      <c r="E49" s="474"/>
      <c r="F49" s="165" t="s">
        <v>459</v>
      </c>
      <c r="G49" s="159" t="s">
        <v>410</v>
      </c>
      <c r="H49" s="160">
        <f>4337+791</f>
        <v>5128</v>
      </c>
      <c r="I49" s="160">
        <f>6372+402</f>
        <v>6774</v>
      </c>
      <c r="J49" s="160">
        <f>5216+330</f>
        <v>5546</v>
      </c>
      <c r="K49" s="160">
        <v>4336</v>
      </c>
      <c r="L49" s="160">
        <v>3072</v>
      </c>
      <c r="M49" s="160">
        <v>1547</v>
      </c>
      <c r="N49" s="160">
        <v>845</v>
      </c>
      <c r="O49" s="160">
        <v>0</v>
      </c>
      <c r="P49" s="160">
        <f>SUM(H49:O49)</f>
        <v>27248</v>
      </c>
    </row>
    <row r="50" spans="1:16" ht="16.5" customHeight="1" x14ac:dyDescent="0.25">
      <c r="A50" s="469"/>
      <c r="B50" s="470"/>
      <c r="C50" s="481"/>
      <c r="D50" s="472"/>
      <c r="E50" s="474"/>
      <c r="F50" s="161"/>
      <c r="G50" s="161" t="s">
        <v>411</v>
      </c>
      <c r="H50" s="162">
        <f t="shared" ref="H50:P50" si="14">SUM(H48:H49)</f>
        <v>33585</v>
      </c>
      <c r="I50" s="162">
        <f t="shared" si="14"/>
        <v>35232</v>
      </c>
      <c r="J50" s="162">
        <f t="shared" si="14"/>
        <v>34003</v>
      </c>
      <c r="K50" s="162">
        <f t="shared" si="14"/>
        <v>32794</v>
      </c>
      <c r="L50" s="162">
        <f t="shared" si="14"/>
        <v>31529</v>
      </c>
      <c r="M50" s="162">
        <f t="shared" si="14"/>
        <v>30005</v>
      </c>
      <c r="N50" s="162">
        <f t="shared" si="14"/>
        <v>21618</v>
      </c>
      <c r="O50" s="162">
        <f t="shared" si="14"/>
        <v>0</v>
      </c>
      <c r="P50" s="162">
        <f t="shared" si="14"/>
        <v>218766</v>
      </c>
    </row>
    <row r="51" spans="1:16" ht="19.5" customHeight="1" x14ac:dyDescent="0.25">
      <c r="A51" s="469">
        <f>A48+1</f>
        <v>15</v>
      </c>
      <c r="B51" s="470" t="s">
        <v>405</v>
      </c>
      <c r="C51" s="481" t="s">
        <v>460</v>
      </c>
      <c r="D51" s="472">
        <v>39632</v>
      </c>
      <c r="E51" s="474" t="s">
        <v>461</v>
      </c>
      <c r="F51" s="167" t="s">
        <v>462</v>
      </c>
      <c r="G51" s="157" t="s">
        <v>409</v>
      </c>
      <c r="H51" s="158">
        <v>8821</v>
      </c>
      <c r="I51" s="158">
        <v>8821</v>
      </c>
      <c r="J51" s="158">
        <v>8821</v>
      </c>
      <c r="K51" s="158">
        <v>8821</v>
      </c>
      <c r="L51" s="158">
        <v>8821</v>
      </c>
      <c r="M51" s="158">
        <v>8821</v>
      </c>
      <c r="N51" s="158">
        <v>8821</v>
      </c>
      <c r="O51" s="158">
        <v>30868</v>
      </c>
      <c r="P51" s="158">
        <f>SUM(H51:O51)</f>
        <v>92615</v>
      </c>
    </row>
    <row r="52" spans="1:16" ht="16.899999999999999" customHeight="1" x14ac:dyDescent="0.25">
      <c r="A52" s="469"/>
      <c r="B52" s="470"/>
      <c r="C52" s="471"/>
      <c r="D52" s="472"/>
      <c r="E52" s="474"/>
      <c r="F52" s="165" t="s">
        <v>463</v>
      </c>
      <c r="G52" s="159" t="s">
        <v>410</v>
      </c>
      <c r="H52" s="160">
        <f>1471-45</f>
        <v>1426</v>
      </c>
      <c r="I52" s="160">
        <f>3183+210</f>
        <v>3393</v>
      </c>
      <c r="J52" s="160">
        <f>2835+187</f>
        <v>3022</v>
      </c>
      <c r="K52" s="160">
        <v>2660</v>
      </c>
      <c r="L52" s="160">
        <v>2298</v>
      </c>
      <c r="M52" s="160">
        <v>1932</v>
      </c>
      <c r="N52" s="160">
        <v>1660</v>
      </c>
      <c r="O52" s="160">
        <f>4289</f>
        <v>4289</v>
      </c>
      <c r="P52" s="160">
        <f>SUM(H52:O52)</f>
        <v>20680</v>
      </c>
    </row>
    <row r="53" spans="1:16" ht="16.149999999999999" customHeight="1" x14ac:dyDescent="0.25">
      <c r="A53" s="469"/>
      <c r="B53" s="470"/>
      <c r="C53" s="471"/>
      <c r="D53" s="472"/>
      <c r="E53" s="474"/>
      <c r="F53" s="161"/>
      <c r="G53" s="161" t="s">
        <v>411</v>
      </c>
      <c r="H53" s="162">
        <f t="shared" ref="H53:P53" si="15">SUM(H51:H52)</f>
        <v>10247</v>
      </c>
      <c r="I53" s="162">
        <f t="shared" si="15"/>
        <v>12214</v>
      </c>
      <c r="J53" s="162">
        <f t="shared" si="15"/>
        <v>11843</v>
      </c>
      <c r="K53" s="162">
        <f t="shared" si="15"/>
        <v>11481</v>
      </c>
      <c r="L53" s="162">
        <f t="shared" si="15"/>
        <v>11119</v>
      </c>
      <c r="M53" s="162">
        <f t="shared" si="15"/>
        <v>10753</v>
      </c>
      <c r="N53" s="162">
        <f t="shared" si="15"/>
        <v>10481</v>
      </c>
      <c r="O53" s="162">
        <f t="shared" si="15"/>
        <v>35157</v>
      </c>
      <c r="P53" s="162">
        <f t="shared" si="15"/>
        <v>113295</v>
      </c>
    </row>
    <row r="54" spans="1:16" ht="19.5" customHeight="1" x14ac:dyDescent="0.25">
      <c r="A54" s="469">
        <f>A51+1</f>
        <v>16</v>
      </c>
      <c r="B54" s="470" t="s">
        <v>405</v>
      </c>
      <c r="C54" s="471" t="s">
        <v>464</v>
      </c>
      <c r="D54" s="472">
        <v>39749</v>
      </c>
      <c r="E54" s="474" t="s">
        <v>465</v>
      </c>
      <c r="F54" s="167" t="s">
        <v>466</v>
      </c>
      <c r="G54" s="157" t="s">
        <v>409</v>
      </c>
      <c r="H54" s="158">
        <v>59561</v>
      </c>
      <c r="I54" s="158">
        <v>59561</v>
      </c>
      <c r="J54" s="158">
        <v>59561</v>
      </c>
      <c r="K54" s="158">
        <v>59561</v>
      </c>
      <c r="L54" s="158">
        <v>59561</v>
      </c>
      <c r="M54" s="158">
        <v>59541</v>
      </c>
      <c r="N54" s="158">
        <v>0</v>
      </c>
      <c r="O54" s="158">
        <v>0</v>
      </c>
      <c r="P54" s="158">
        <f>SUM(H54:O54)</f>
        <v>357346</v>
      </c>
    </row>
    <row r="55" spans="1:16" ht="16.899999999999999" customHeight="1" x14ac:dyDescent="0.25">
      <c r="A55" s="469"/>
      <c r="B55" s="470"/>
      <c r="C55" s="471"/>
      <c r="D55" s="472"/>
      <c r="E55" s="474"/>
      <c r="F55" s="165" t="s">
        <v>467</v>
      </c>
      <c r="G55" s="159" t="s">
        <v>410</v>
      </c>
      <c r="H55" s="160">
        <f>8057+1465</f>
        <v>9522</v>
      </c>
      <c r="I55" s="160">
        <f>11590+733</f>
        <v>12323</v>
      </c>
      <c r="J55" s="160">
        <f>9174+580</f>
        <v>9754</v>
      </c>
      <c r="K55" s="160">
        <v>7222</v>
      </c>
      <c r="L55" s="160">
        <v>4683</v>
      </c>
      <c r="M55" s="160">
        <v>2145</v>
      </c>
      <c r="N55" s="160">
        <v>0</v>
      </c>
      <c r="O55" s="160">
        <v>0</v>
      </c>
      <c r="P55" s="160">
        <f>SUM(H55:O55)</f>
        <v>45649</v>
      </c>
    </row>
    <row r="56" spans="1:16" ht="18" customHeight="1" x14ac:dyDescent="0.25">
      <c r="A56" s="469"/>
      <c r="B56" s="470"/>
      <c r="C56" s="471"/>
      <c r="D56" s="472"/>
      <c r="E56" s="474"/>
      <c r="F56" s="161"/>
      <c r="G56" s="161" t="s">
        <v>411</v>
      </c>
      <c r="H56" s="162">
        <f t="shared" ref="H56:P56" si="16">SUM(H54:H55)</f>
        <v>69083</v>
      </c>
      <c r="I56" s="162">
        <f t="shared" si="16"/>
        <v>71884</v>
      </c>
      <c r="J56" s="162">
        <f t="shared" si="16"/>
        <v>69315</v>
      </c>
      <c r="K56" s="162">
        <f t="shared" si="16"/>
        <v>66783</v>
      </c>
      <c r="L56" s="162">
        <f t="shared" si="16"/>
        <v>64244</v>
      </c>
      <c r="M56" s="162">
        <f t="shared" si="16"/>
        <v>61686</v>
      </c>
      <c r="N56" s="162">
        <f t="shared" si="16"/>
        <v>0</v>
      </c>
      <c r="O56" s="162">
        <f t="shared" si="16"/>
        <v>0</v>
      </c>
      <c r="P56" s="162">
        <f t="shared" si="16"/>
        <v>402995</v>
      </c>
    </row>
    <row r="57" spans="1:16" ht="17.45" customHeight="1" x14ac:dyDescent="0.25">
      <c r="A57" s="469">
        <f>A54+1</f>
        <v>17</v>
      </c>
      <c r="B57" s="470" t="s">
        <v>405</v>
      </c>
      <c r="C57" s="471" t="s">
        <v>468</v>
      </c>
      <c r="D57" s="472">
        <v>39794</v>
      </c>
      <c r="E57" s="474" t="s">
        <v>469</v>
      </c>
      <c r="F57" s="167" t="s">
        <v>470</v>
      </c>
      <c r="G57" s="157" t="s">
        <v>409</v>
      </c>
      <c r="H57" s="158">
        <v>5538</v>
      </c>
      <c r="I57" s="158">
        <v>5538</v>
      </c>
      <c r="J57" s="158">
        <v>5538</v>
      </c>
      <c r="K57" s="158">
        <v>5538</v>
      </c>
      <c r="L57" s="158">
        <v>5538</v>
      </c>
      <c r="M57" s="158">
        <v>5538</v>
      </c>
      <c r="N57" s="158">
        <v>5538</v>
      </c>
      <c r="O57" s="158">
        <f>49720</f>
        <v>49720</v>
      </c>
      <c r="P57" s="158">
        <f>SUM(H57:O57)</f>
        <v>88486</v>
      </c>
    </row>
    <row r="58" spans="1:16" ht="17.25" customHeight="1" x14ac:dyDescent="0.25">
      <c r="A58" s="469"/>
      <c r="B58" s="470"/>
      <c r="C58" s="471"/>
      <c r="D58" s="472"/>
      <c r="E58" s="474"/>
      <c r="F58" s="165" t="s">
        <v>471</v>
      </c>
      <c r="G58" s="159" t="s">
        <v>410</v>
      </c>
      <c r="H58" s="160">
        <v>1221</v>
      </c>
      <c r="I58" s="160">
        <f>938+209</f>
        <v>1147</v>
      </c>
      <c r="J58" s="160">
        <f>2151+194</f>
        <v>2345</v>
      </c>
      <c r="K58" s="160">
        <v>2995</v>
      </c>
      <c r="L58" s="160">
        <v>2762</v>
      </c>
      <c r="M58" s="160">
        <v>2535</v>
      </c>
      <c r="N58" s="160">
        <v>2188</v>
      </c>
      <c r="O58" s="160">
        <f>12753</f>
        <v>12753</v>
      </c>
      <c r="P58" s="160">
        <f>SUM(H58:O58)</f>
        <v>27946</v>
      </c>
    </row>
    <row r="59" spans="1:16" ht="17.25" customHeight="1" x14ac:dyDescent="0.25">
      <c r="A59" s="469"/>
      <c r="B59" s="482"/>
      <c r="C59" s="484"/>
      <c r="D59" s="475"/>
      <c r="E59" s="478"/>
      <c r="F59" s="168"/>
      <c r="G59" s="168" t="s">
        <v>411</v>
      </c>
      <c r="H59" s="162">
        <f t="shared" ref="H59:P59" si="17">SUM(H57:H58)</f>
        <v>6759</v>
      </c>
      <c r="I59" s="162">
        <f t="shared" si="17"/>
        <v>6685</v>
      </c>
      <c r="J59" s="162">
        <f t="shared" si="17"/>
        <v>7883</v>
      </c>
      <c r="K59" s="162">
        <f t="shared" si="17"/>
        <v>8533</v>
      </c>
      <c r="L59" s="162">
        <f t="shared" si="17"/>
        <v>8300</v>
      </c>
      <c r="M59" s="162">
        <f t="shared" si="17"/>
        <v>8073</v>
      </c>
      <c r="N59" s="162">
        <f t="shared" si="17"/>
        <v>7726</v>
      </c>
      <c r="O59" s="162">
        <f t="shared" si="17"/>
        <v>62473</v>
      </c>
      <c r="P59" s="162">
        <f t="shared" si="17"/>
        <v>116432</v>
      </c>
    </row>
    <row r="60" spans="1:16" ht="18.600000000000001" customHeight="1" x14ac:dyDescent="0.25">
      <c r="A60" s="469">
        <f>A57+1</f>
        <v>18</v>
      </c>
      <c r="B60" s="470" t="s">
        <v>405</v>
      </c>
      <c r="C60" s="471" t="s">
        <v>472</v>
      </c>
      <c r="D60" s="472">
        <v>39920</v>
      </c>
      <c r="E60" s="474" t="s">
        <v>473</v>
      </c>
      <c r="F60" s="167" t="s">
        <v>474</v>
      </c>
      <c r="G60" s="157" t="s">
        <v>409</v>
      </c>
      <c r="H60" s="158">
        <v>3136</v>
      </c>
      <c r="I60" s="158">
        <v>3136</v>
      </c>
      <c r="J60" s="158">
        <v>3136</v>
      </c>
      <c r="K60" s="158">
        <v>3136</v>
      </c>
      <c r="L60" s="158">
        <v>3136</v>
      </c>
      <c r="M60" s="158">
        <v>3136</v>
      </c>
      <c r="N60" s="158">
        <v>784</v>
      </c>
      <c r="O60" s="164">
        <v>0</v>
      </c>
      <c r="P60" s="158">
        <f>SUM(H60:O60)</f>
        <v>19600</v>
      </c>
    </row>
    <row r="61" spans="1:16" ht="16.5" customHeight="1" x14ac:dyDescent="0.25">
      <c r="A61" s="469"/>
      <c r="B61" s="470"/>
      <c r="C61" s="471"/>
      <c r="D61" s="472"/>
      <c r="E61" s="474"/>
      <c r="F61" s="165" t="s">
        <v>475</v>
      </c>
      <c r="G61" s="159" t="s">
        <v>410</v>
      </c>
      <c r="H61" s="160">
        <v>869</v>
      </c>
      <c r="I61" s="160">
        <v>728</v>
      </c>
      <c r="J61" s="160">
        <v>584</v>
      </c>
      <c r="K61" s="160">
        <v>442</v>
      </c>
      <c r="L61" s="160">
        <v>299</v>
      </c>
      <c r="M61" s="160">
        <v>221</v>
      </c>
      <c r="N61" s="160">
        <v>46</v>
      </c>
      <c r="O61" s="166">
        <v>0</v>
      </c>
      <c r="P61" s="160">
        <f>SUM(H61:O61)</f>
        <v>3189</v>
      </c>
    </row>
    <row r="62" spans="1:16" ht="16.5" customHeight="1" x14ac:dyDescent="0.25">
      <c r="A62" s="469"/>
      <c r="B62" s="470"/>
      <c r="C62" s="471"/>
      <c r="D62" s="472"/>
      <c r="E62" s="474"/>
      <c r="F62" s="161"/>
      <c r="G62" s="161" t="s">
        <v>411</v>
      </c>
      <c r="H62" s="162">
        <f t="shared" ref="H62:P62" si="18">SUM(H60:H61)</f>
        <v>4005</v>
      </c>
      <c r="I62" s="162">
        <f t="shared" si="18"/>
        <v>3864</v>
      </c>
      <c r="J62" s="162">
        <f t="shared" si="18"/>
        <v>3720</v>
      </c>
      <c r="K62" s="162">
        <f t="shared" si="18"/>
        <v>3578</v>
      </c>
      <c r="L62" s="162">
        <f t="shared" si="18"/>
        <v>3435</v>
      </c>
      <c r="M62" s="162">
        <f t="shared" si="18"/>
        <v>3357</v>
      </c>
      <c r="N62" s="162">
        <f t="shared" si="18"/>
        <v>830</v>
      </c>
      <c r="O62" s="162">
        <f t="shared" si="18"/>
        <v>0</v>
      </c>
      <c r="P62" s="162">
        <f t="shared" si="18"/>
        <v>22789</v>
      </c>
    </row>
    <row r="63" spans="1:16" ht="18.600000000000001" customHeight="1" x14ac:dyDescent="0.25">
      <c r="A63" s="469">
        <f>A60+1</f>
        <v>19</v>
      </c>
      <c r="B63" s="470" t="s">
        <v>405</v>
      </c>
      <c r="C63" s="471" t="s">
        <v>476</v>
      </c>
      <c r="D63" s="472">
        <v>39961</v>
      </c>
      <c r="E63" s="474" t="s">
        <v>477</v>
      </c>
      <c r="F63" s="167" t="s">
        <v>478</v>
      </c>
      <c r="G63" s="157" t="s">
        <v>409</v>
      </c>
      <c r="H63" s="158">
        <v>19624</v>
      </c>
      <c r="I63" s="158">
        <v>9838</v>
      </c>
      <c r="J63" s="169">
        <v>0</v>
      </c>
      <c r="K63" s="169">
        <v>0</v>
      </c>
      <c r="L63" s="169">
        <v>0</v>
      </c>
      <c r="M63" s="169">
        <v>0</v>
      </c>
      <c r="N63" s="169">
        <v>0</v>
      </c>
      <c r="O63" s="169">
        <v>0</v>
      </c>
      <c r="P63" s="158">
        <f>SUM(H63:O63)</f>
        <v>29462</v>
      </c>
    </row>
    <row r="64" spans="1:16" ht="16.899999999999999" customHeight="1" x14ac:dyDescent="0.25">
      <c r="A64" s="469"/>
      <c r="B64" s="470"/>
      <c r="C64" s="471"/>
      <c r="D64" s="472"/>
      <c r="E64" s="474"/>
      <c r="F64" s="165" t="s">
        <v>479</v>
      </c>
      <c r="G64" s="159" t="s">
        <v>410</v>
      </c>
      <c r="H64" s="160">
        <v>1189</v>
      </c>
      <c r="I64" s="160">
        <v>293</v>
      </c>
      <c r="J64" s="170">
        <v>0</v>
      </c>
      <c r="K64" s="170">
        <v>0</v>
      </c>
      <c r="L64" s="170">
        <v>0</v>
      </c>
      <c r="M64" s="170">
        <v>0</v>
      </c>
      <c r="N64" s="170">
        <v>0</v>
      </c>
      <c r="O64" s="170">
        <v>0</v>
      </c>
      <c r="P64" s="160">
        <f>SUM(H64:O64)</f>
        <v>1482</v>
      </c>
    </row>
    <row r="65" spans="1:16" ht="15" customHeight="1" x14ac:dyDescent="0.25">
      <c r="A65" s="469"/>
      <c r="B65" s="470"/>
      <c r="C65" s="471"/>
      <c r="D65" s="472"/>
      <c r="E65" s="474"/>
      <c r="F65" s="161"/>
      <c r="G65" s="161" t="s">
        <v>411</v>
      </c>
      <c r="H65" s="162">
        <f t="shared" ref="H65:P65" si="19">SUM(H63:H64)</f>
        <v>20813</v>
      </c>
      <c r="I65" s="162">
        <f t="shared" si="19"/>
        <v>10131</v>
      </c>
      <c r="J65" s="162">
        <f t="shared" si="19"/>
        <v>0</v>
      </c>
      <c r="K65" s="162">
        <f t="shared" si="19"/>
        <v>0</v>
      </c>
      <c r="L65" s="162">
        <f t="shared" si="19"/>
        <v>0</v>
      </c>
      <c r="M65" s="162">
        <f t="shared" si="19"/>
        <v>0</v>
      </c>
      <c r="N65" s="162">
        <f t="shared" si="19"/>
        <v>0</v>
      </c>
      <c r="O65" s="162">
        <f t="shared" si="19"/>
        <v>0</v>
      </c>
      <c r="P65" s="162">
        <f t="shared" si="19"/>
        <v>30944</v>
      </c>
    </row>
    <row r="66" spans="1:16" ht="18" customHeight="1" x14ac:dyDescent="0.25">
      <c r="A66" s="469">
        <f>A63+1</f>
        <v>20</v>
      </c>
      <c r="B66" s="470" t="s">
        <v>405</v>
      </c>
      <c r="C66" s="471" t="s">
        <v>480</v>
      </c>
      <c r="D66" s="472">
        <v>39994</v>
      </c>
      <c r="E66" s="474" t="s">
        <v>481</v>
      </c>
      <c r="F66" s="167" t="s">
        <v>482</v>
      </c>
      <c r="G66" s="157" t="s">
        <v>409</v>
      </c>
      <c r="H66" s="158">
        <v>3676</v>
      </c>
      <c r="I66" s="158">
        <v>3676</v>
      </c>
      <c r="J66" s="158">
        <v>3676</v>
      </c>
      <c r="K66" s="158">
        <v>3676</v>
      </c>
      <c r="L66" s="158">
        <v>3676</v>
      </c>
      <c r="M66" s="158">
        <v>3676</v>
      </c>
      <c r="N66" s="158">
        <v>1838</v>
      </c>
      <c r="O66" s="158">
        <v>0</v>
      </c>
      <c r="P66" s="158">
        <f>SUM(H66:O66)</f>
        <v>23894</v>
      </c>
    </row>
    <row r="67" spans="1:16" ht="17.45" customHeight="1" x14ac:dyDescent="0.25">
      <c r="A67" s="469"/>
      <c r="B67" s="470"/>
      <c r="C67" s="471"/>
      <c r="D67" s="472"/>
      <c r="E67" s="474"/>
      <c r="F67" s="165" t="s">
        <v>483</v>
      </c>
      <c r="G67" s="159" t="s">
        <v>410</v>
      </c>
      <c r="H67" s="160">
        <f>540+98</f>
        <v>638</v>
      </c>
      <c r="I67" s="160">
        <f>789+50</f>
        <v>839</v>
      </c>
      <c r="J67" s="160">
        <f>640+41</f>
        <v>681</v>
      </c>
      <c r="K67" s="160">
        <v>521</v>
      </c>
      <c r="L67" s="160">
        <v>367</v>
      </c>
      <c r="M67" s="160">
        <v>211</v>
      </c>
      <c r="N67" s="160">
        <v>52</v>
      </c>
      <c r="O67" s="160">
        <v>0</v>
      </c>
      <c r="P67" s="160">
        <f>SUM(H67:O67)</f>
        <v>3309</v>
      </c>
    </row>
    <row r="68" spans="1:16" ht="16.899999999999999" customHeight="1" x14ac:dyDescent="0.25">
      <c r="A68" s="469"/>
      <c r="B68" s="470"/>
      <c r="C68" s="471"/>
      <c r="D68" s="472"/>
      <c r="E68" s="474"/>
      <c r="F68" s="161"/>
      <c r="G68" s="161" t="s">
        <v>411</v>
      </c>
      <c r="H68" s="162">
        <f t="shared" ref="H68:P68" si="20">SUM(H66:H67)</f>
        <v>4314</v>
      </c>
      <c r="I68" s="162">
        <f t="shared" si="20"/>
        <v>4515</v>
      </c>
      <c r="J68" s="162">
        <f t="shared" si="20"/>
        <v>4357</v>
      </c>
      <c r="K68" s="162">
        <f t="shared" si="20"/>
        <v>4197</v>
      </c>
      <c r="L68" s="162">
        <f t="shared" si="20"/>
        <v>4043</v>
      </c>
      <c r="M68" s="162">
        <f t="shared" si="20"/>
        <v>3887</v>
      </c>
      <c r="N68" s="162">
        <f t="shared" si="20"/>
        <v>1890</v>
      </c>
      <c r="O68" s="162">
        <f t="shared" si="20"/>
        <v>0</v>
      </c>
      <c r="P68" s="162">
        <f t="shared" si="20"/>
        <v>27203</v>
      </c>
    </row>
    <row r="69" spans="1:16" ht="18.75" customHeight="1" x14ac:dyDescent="0.25">
      <c r="A69" s="469">
        <f>A66+1</f>
        <v>21</v>
      </c>
      <c r="B69" s="470" t="s">
        <v>405</v>
      </c>
      <c r="C69" s="471" t="s">
        <v>484</v>
      </c>
      <c r="D69" s="472">
        <v>40262</v>
      </c>
      <c r="E69" s="474" t="s">
        <v>485</v>
      </c>
      <c r="F69" s="167" t="s">
        <v>486</v>
      </c>
      <c r="G69" s="157" t="s">
        <v>409</v>
      </c>
      <c r="H69" s="158">
        <v>1844</v>
      </c>
      <c r="I69" s="158">
        <v>1844</v>
      </c>
      <c r="J69" s="158">
        <v>1844</v>
      </c>
      <c r="K69" s="158">
        <v>1844</v>
      </c>
      <c r="L69" s="158">
        <v>1844</v>
      </c>
      <c r="M69" s="158">
        <v>1844</v>
      </c>
      <c r="N69" s="158">
        <v>1844</v>
      </c>
      <c r="O69" s="158">
        <v>1844</v>
      </c>
      <c r="P69" s="158">
        <f>SUM(H69:O69)</f>
        <v>14752</v>
      </c>
    </row>
    <row r="70" spans="1:16" ht="17.45" customHeight="1" x14ac:dyDescent="0.25">
      <c r="A70" s="469"/>
      <c r="B70" s="470"/>
      <c r="C70" s="471"/>
      <c r="D70" s="472"/>
      <c r="E70" s="474"/>
      <c r="F70" s="165" t="s">
        <v>487</v>
      </c>
      <c r="G70" s="159" t="s">
        <v>410</v>
      </c>
      <c r="H70" s="160">
        <f>422+47</f>
        <v>469</v>
      </c>
      <c r="I70" s="160">
        <f>528+32</f>
        <v>560</v>
      </c>
      <c r="J70" s="160">
        <f>450+27</f>
        <v>477</v>
      </c>
      <c r="K70" s="160">
        <f>372+23</f>
        <v>395</v>
      </c>
      <c r="L70" s="160">
        <f>295+18</f>
        <v>313</v>
      </c>
      <c r="M70" s="160">
        <f>219+13</f>
        <v>232</v>
      </c>
      <c r="N70" s="160">
        <f>142+9</f>
        <v>151</v>
      </c>
      <c r="O70" s="160">
        <v>73</v>
      </c>
      <c r="P70" s="160">
        <f>SUM(H70:O70)</f>
        <v>2670</v>
      </c>
    </row>
    <row r="71" spans="1:16" ht="18" customHeight="1" x14ac:dyDescent="0.25">
      <c r="A71" s="469"/>
      <c r="B71" s="470"/>
      <c r="C71" s="471"/>
      <c r="D71" s="472"/>
      <c r="E71" s="474"/>
      <c r="F71" s="161"/>
      <c r="G71" s="161" t="s">
        <v>411</v>
      </c>
      <c r="H71" s="162">
        <f t="shared" ref="H71:P71" si="21">SUM(H69:H70)</f>
        <v>2313</v>
      </c>
      <c r="I71" s="162">
        <f t="shared" si="21"/>
        <v>2404</v>
      </c>
      <c r="J71" s="162">
        <f t="shared" si="21"/>
        <v>2321</v>
      </c>
      <c r="K71" s="162">
        <f t="shared" si="21"/>
        <v>2239</v>
      </c>
      <c r="L71" s="162">
        <f t="shared" si="21"/>
        <v>2157</v>
      </c>
      <c r="M71" s="162">
        <f t="shared" si="21"/>
        <v>2076</v>
      </c>
      <c r="N71" s="162">
        <f t="shared" si="21"/>
        <v>1995</v>
      </c>
      <c r="O71" s="162">
        <f t="shared" si="21"/>
        <v>1917</v>
      </c>
      <c r="P71" s="162">
        <f t="shared" si="21"/>
        <v>17422</v>
      </c>
    </row>
    <row r="72" spans="1:16" ht="18.75" customHeight="1" x14ac:dyDescent="0.25">
      <c r="A72" s="469">
        <f>A69+1</f>
        <v>22</v>
      </c>
      <c r="B72" s="470" t="s">
        <v>405</v>
      </c>
      <c r="C72" s="471" t="s">
        <v>488</v>
      </c>
      <c r="D72" s="472">
        <v>40316</v>
      </c>
      <c r="E72" s="474" t="s">
        <v>485</v>
      </c>
      <c r="F72" s="167" t="s">
        <v>489</v>
      </c>
      <c r="G72" s="157" t="s">
        <v>409</v>
      </c>
      <c r="H72" s="158">
        <v>1368</v>
      </c>
      <c r="I72" s="158">
        <v>1368</v>
      </c>
      <c r="J72" s="158">
        <v>1368</v>
      </c>
      <c r="K72" s="158">
        <v>1368</v>
      </c>
      <c r="L72" s="158">
        <v>1368</v>
      </c>
      <c r="M72" s="158">
        <v>1368</v>
      </c>
      <c r="N72" s="158">
        <v>1368</v>
      </c>
      <c r="O72" s="158">
        <v>1368</v>
      </c>
      <c r="P72" s="158">
        <f>SUM(H72:O72)</f>
        <v>10944</v>
      </c>
    </row>
    <row r="73" spans="1:16" ht="17.45" customHeight="1" x14ac:dyDescent="0.25">
      <c r="A73" s="469"/>
      <c r="B73" s="470"/>
      <c r="C73" s="471"/>
      <c r="D73" s="472"/>
      <c r="E73" s="474"/>
      <c r="F73" s="165" t="s">
        <v>490</v>
      </c>
      <c r="G73" s="159" t="s">
        <v>410</v>
      </c>
      <c r="H73" s="160">
        <f>249+46</f>
        <v>295</v>
      </c>
      <c r="I73" s="160">
        <f>376+24</f>
        <v>400</v>
      </c>
      <c r="J73" s="160">
        <f>320+20</f>
        <v>340</v>
      </c>
      <c r="K73" s="160">
        <f>265+17</f>
        <v>282</v>
      </c>
      <c r="L73" s="160">
        <f>211+13</f>
        <v>224</v>
      </c>
      <c r="M73" s="160">
        <f>156+10</f>
        <v>166</v>
      </c>
      <c r="N73" s="160">
        <v>107</v>
      </c>
      <c r="O73" s="160">
        <v>3</v>
      </c>
      <c r="P73" s="160">
        <f>SUM(H73:O73)</f>
        <v>1817</v>
      </c>
    </row>
    <row r="74" spans="1:16" ht="18.75" customHeight="1" x14ac:dyDescent="0.25">
      <c r="A74" s="469"/>
      <c r="B74" s="482"/>
      <c r="C74" s="484"/>
      <c r="D74" s="475"/>
      <c r="E74" s="478"/>
      <c r="F74" s="168"/>
      <c r="G74" s="168" t="s">
        <v>411</v>
      </c>
      <c r="H74" s="162">
        <f t="shared" ref="H74:P74" si="22">SUM(H72:H73)</f>
        <v>1663</v>
      </c>
      <c r="I74" s="162">
        <f t="shared" si="22"/>
        <v>1768</v>
      </c>
      <c r="J74" s="162">
        <f t="shared" si="22"/>
        <v>1708</v>
      </c>
      <c r="K74" s="162">
        <f t="shared" si="22"/>
        <v>1650</v>
      </c>
      <c r="L74" s="162">
        <f t="shared" si="22"/>
        <v>1592</v>
      </c>
      <c r="M74" s="162">
        <f t="shared" si="22"/>
        <v>1534</v>
      </c>
      <c r="N74" s="162">
        <f t="shared" si="22"/>
        <v>1475</v>
      </c>
      <c r="O74" s="162">
        <f t="shared" si="22"/>
        <v>1371</v>
      </c>
      <c r="P74" s="162">
        <f t="shared" si="22"/>
        <v>12761</v>
      </c>
    </row>
    <row r="75" spans="1:16" ht="20.45" customHeight="1" x14ac:dyDescent="0.25">
      <c r="A75" s="469">
        <f>A72+1</f>
        <v>23</v>
      </c>
      <c r="B75" s="470" t="s">
        <v>405</v>
      </c>
      <c r="C75" s="471" t="s">
        <v>491</v>
      </c>
      <c r="D75" s="472">
        <v>40365</v>
      </c>
      <c r="E75" s="474" t="s">
        <v>492</v>
      </c>
      <c r="F75" s="167" t="s">
        <v>493</v>
      </c>
      <c r="G75" s="157" t="s">
        <v>409</v>
      </c>
      <c r="H75" s="158">
        <v>13876</v>
      </c>
      <c r="I75" s="158">
        <v>13876</v>
      </c>
      <c r="J75" s="158">
        <v>13876</v>
      </c>
      <c r="K75" s="158">
        <v>13876</v>
      </c>
      <c r="L75" s="158">
        <v>13876</v>
      </c>
      <c r="M75" s="158">
        <v>13876</v>
      </c>
      <c r="N75" s="158">
        <v>13876</v>
      </c>
      <c r="O75" s="158">
        <f>142229</f>
        <v>142229</v>
      </c>
      <c r="P75" s="158">
        <f>SUM(H75:O75)</f>
        <v>239361</v>
      </c>
    </row>
    <row r="76" spans="1:16" ht="17.45" customHeight="1" x14ac:dyDescent="0.25">
      <c r="A76" s="469"/>
      <c r="B76" s="470"/>
      <c r="C76" s="471"/>
      <c r="D76" s="472"/>
      <c r="E76" s="474"/>
      <c r="F76" s="165" t="s">
        <v>494</v>
      </c>
      <c r="G76" s="159" t="s">
        <v>410</v>
      </c>
      <c r="H76" s="160">
        <f>4831+496</f>
        <v>5327</v>
      </c>
      <c r="I76" s="160">
        <f>9349+568</f>
        <v>9917</v>
      </c>
      <c r="J76" s="160">
        <f>8736+531</f>
        <v>9267</v>
      </c>
      <c r="K76" s="160">
        <f>8158+496</f>
        <v>8654</v>
      </c>
      <c r="L76" s="160">
        <f>7580+461</f>
        <v>8041</v>
      </c>
      <c r="M76" s="160">
        <f>7019+426</f>
        <v>7445</v>
      </c>
      <c r="N76" s="160">
        <f>6420+390</f>
        <v>6810</v>
      </c>
      <c r="O76" s="160">
        <v>34475</v>
      </c>
      <c r="P76" s="160">
        <f>SUM(H76:O76)</f>
        <v>89936</v>
      </c>
    </row>
    <row r="77" spans="1:16" ht="16.899999999999999" customHeight="1" x14ac:dyDescent="0.25">
      <c r="A77" s="469"/>
      <c r="B77" s="470"/>
      <c r="C77" s="471"/>
      <c r="D77" s="472"/>
      <c r="E77" s="474"/>
      <c r="F77" s="161"/>
      <c r="G77" s="161" t="s">
        <v>411</v>
      </c>
      <c r="H77" s="162">
        <f t="shared" ref="H77:P77" si="23">SUM(H75:H76)</f>
        <v>19203</v>
      </c>
      <c r="I77" s="162">
        <f t="shared" si="23"/>
        <v>23793</v>
      </c>
      <c r="J77" s="162">
        <f t="shared" si="23"/>
        <v>23143</v>
      </c>
      <c r="K77" s="162">
        <f t="shared" si="23"/>
        <v>22530</v>
      </c>
      <c r="L77" s="162">
        <f t="shared" si="23"/>
        <v>21917</v>
      </c>
      <c r="M77" s="162">
        <f t="shared" si="23"/>
        <v>21321</v>
      </c>
      <c r="N77" s="162">
        <f t="shared" si="23"/>
        <v>20686</v>
      </c>
      <c r="O77" s="162">
        <f t="shared" si="23"/>
        <v>176704</v>
      </c>
      <c r="P77" s="162">
        <f t="shared" si="23"/>
        <v>329297</v>
      </c>
    </row>
    <row r="78" spans="1:16" ht="16.899999999999999" customHeight="1" x14ac:dyDescent="0.25">
      <c r="A78" s="469">
        <f>A75+1</f>
        <v>24</v>
      </c>
      <c r="B78" s="470" t="s">
        <v>405</v>
      </c>
      <c r="C78" s="471" t="s">
        <v>495</v>
      </c>
      <c r="D78" s="472">
        <v>40388</v>
      </c>
      <c r="E78" s="474" t="s">
        <v>496</v>
      </c>
      <c r="F78" s="167" t="s">
        <v>497</v>
      </c>
      <c r="G78" s="157" t="s">
        <v>409</v>
      </c>
      <c r="H78" s="158">
        <v>3147</v>
      </c>
      <c r="I78" s="158">
        <v>3147</v>
      </c>
      <c r="J78" s="158">
        <v>2341</v>
      </c>
      <c r="K78" s="164">
        <v>0</v>
      </c>
      <c r="L78" s="164">
        <v>0</v>
      </c>
      <c r="M78" s="164">
        <v>0</v>
      </c>
      <c r="N78" s="164">
        <v>0</v>
      </c>
      <c r="O78" s="164">
        <v>0</v>
      </c>
      <c r="P78" s="158">
        <f>SUM(H78:O78)</f>
        <v>8635</v>
      </c>
    </row>
    <row r="79" spans="1:16" ht="16.5" customHeight="1" x14ac:dyDescent="0.25">
      <c r="A79" s="469"/>
      <c r="B79" s="470"/>
      <c r="C79" s="471"/>
      <c r="D79" s="472"/>
      <c r="E79" s="474"/>
      <c r="F79" s="165" t="s">
        <v>498</v>
      </c>
      <c r="G79" s="159" t="s">
        <v>410</v>
      </c>
      <c r="H79" s="160">
        <f>152+11</f>
        <v>163</v>
      </c>
      <c r="I79" s="160">
        <f>211+12</f>
        <v>223</v>
      </c>
      <c r="J79" s="160">
        <f>71+4</f>
        <v>75</v>
      </c>
      <c r="K79" s="166">
        <v>0</v>
      </c>
      <c r="L79" s="166">
        <v>0</v>
      </c>
      <c r="M79" s="166">
        <v>0</v>
      </c>
      <c r="N79" s="166">
        <v>0</v>
      </c>
      <c r="O79" s="166">
        <v>0</v>
      </c>
      <c r="P79" s="160">
        <f>SUM(H79:O79)</f>
        <v>461</v>
      </c>
    </row>
    <row r="80" spans="1:16" ht="16.5" customHeight="1" x14ac:dyDescent="0.25">
      <c r="A80" s="469"/>
      <c r="B80" s="470"/>
      <c r="C80" s="471"/>
      <c r="D80" s="472"/>
      <c r="E80" s="474"/>
      <c r="F80" s="161"/>
      <c r="G80" s="161" t="s">
        <v>411</v>
      </c>
      <c r="H80" s="162">
        <f t="shared" ref="H80:P80" si="24">SUM(H78:H79)</f>
        <v>3310</v>
      </c>
      <c r="I80" s="162">
        <f t="shared" si="24"/>
        <v>3370</v>
      </c>
      <c r="J80" s="162">
        <f t="shared" si="24"/>
        <v>2416</v>
      </c>
      <c r="K80" s="162">
        <f t="shared" si="24"/>
        <v>0</v>
      </c>
      <c r="L80" s="162">
        <f t="shared" si="24"/>
        <v>0</v>
      </c>
      <c r="M80" s="162">
        <f t="shared" si="24"/>
        <v>0</v>
      </c>
      <c r="N80" s="162">
        <f t="shared" si="24"/>
        <v>0</v>
      </c>
      <c r="O80" s="162">
        <f t="shared" si="24"/>
        <v>0</v>
      </c>
      <c r="P80" s="162">
        <f t="shared" si="24"/>
        <v>9096</v>
      </c>
    </row>
    <row r="81" spans="1:16" ht="15" customHeight="1" x14ac:dyDescent="0.25">
      <c r="A81" s="469">
        <f>A78+1</f>
        <v>25</v>
      </c>
      <c r="B81" s="470" t="s">
        <v>405</v>
      </c>
      <c r="C81" s="471" t="s">
        <v>499</v>
      </c>
      <c r="D81" s="472">
        <v>40452</v>
      </c>
      <c r="E81" s="474" t="s">
        <v>500</v>
      </c>
      <c r="F81" s="167" t="s">
        <v>501</v>
      </c>
      <c r="G81" s="157" t="s">
        <v>409</v>
      </c>
      <c r="H81" s="158">
        <v>28987</v>
      </c>
      <c r="I81" s="158">
        <v>28987</v>
      </c>
      <c r="J81" s="158">
        <v>28987</v>
      </c>
      <c r="K81" s="158">
        <v>28987</v>
      </c>
      <c r="L81" s="158">
        <v>28987</v>
      </c>
      <c r="M81" s="158">
        <v>28987</v>
      </c>
      <c r="N81" s="158">
        <v>28987</v>
      </c>
      <c r="O81" s="158">
        <v>21687</v>
      </c>
      <c r="P81" s="158">
        <f>SUM(H81:O81)</f>
        <v>224596</v>
      </c>
    </row>
    <row r="82" spans="1:16" ht="15.75" customHeight="1" x14ac:dyDescent="0.25">
      <c r="A82" s="469"/>
      <c r="B82" s="470"/>
      <c r="C82" s="471"/>
      <c r="D82" s="472"/>
      <c r="E82" s="474"/>
      <c r="F82" s="165" t="s">
        <v>502</v>
      </c>
      <c r="G82" s="159" t="s">
        <v>410</v>
      </c>
      <c r="H82" s="160">
        <f>6422+9</f>
        <v>6431</v>
      </c>
      <c r="I82" s="160">
        <f>7992+485</f>
        <v>8477</v>
      </c>
      <c r="J82" s="160">
        <f>6762+411</f>
        <v>7173</v>
      </c>
      <c r="K82" s="160">
        <f>5555+338</f>
        <v>5893</v>
      </c>
      <c r="L82" s="160">
        <f>4345+264</f>
        <v>4609</v>
      </c>
      <c r="M82" s="160">
        <f>3142+191</f>
        <v>3333</v>
      </c>
      <c r="N82" s="160">
        <f>1924+117</f>
        <v>2041</v>
      </c>
      <c r="O82" s="160">
        <f>715+43</f>
        <v>758</v>
      </c>
      <c r="P82" s="160">
        <f>SUM(H82:O82)</f>
        <v>38715</v>
      </c>
    </row>
    <row r="83" spans="1:16" ht="15.75" customHeight="1" x14ac:dyDescent="0.25">
      <c r="A83" s="469"/>
      <c r="B83" s="470"/>
      <c r="C83" s="471"/>
      <c r="D83" s="472"/>
      <c r="E83" s="474"/>
      <c r="F83" s="161"/>
      <c r="G83" s="161" t="s">
        <v>411</v>
      </c>
      <c r="H83" s="162">
        <f t="shared" ref="H83:P83" si="25">SUM(H81:H82)</f>
        <v>35418</v>
      </c>
      <c r="I83" s="162">
        <f t="shared" si="25"/>
        <v>37464</v>
      </c>
      <c r="J83" s="162">
        <f t="shared" si="25"/>
        <v>36160</v>
      </c>
      <c r="K83" s="162">
        <f t="shared" si="25"/>
        <v>34880</v>
      </c>
      <c r="L83" s="162">
        <f t="shared" si="25"/>
        <v>33596</v>
      </c>
      <c r="M83" s="162">
        <f t="shared" si="25"/>
        <v>32320</v>
      </c>
      <c r="N83" s="162">
        <f t="shared" si="25"/>
        <v>31028</v>
      </c>
      <c r="O83" s="162">
        <f t="shared" si="25"/>
        <v>22445</v>
      </c>
      <c r="P83" s="162">
        <f t="shared" si="25"/>
        <v>263311</v>
      </c>
    </row>
    <row r="84" spans="1:16" ht="18" customHeight="1" x14ac:dyDescent="0.25">
      <c r="A84" s="469">
        <f>A81+1</f>
        <v>26</v>
      </c>
      <c r="B84" s="470" t="s">
        <v>405</v>
      </c>
      <c r="C84" s="471" t="s">
        <v>503</v>
      </c>
      <c r="D84" s="472">
        <v>40471</v>
      </c>
      <c r="E84" s="474" t="s">
        <v>504</v>
      </c>
      <c r="F84" s="163" t="s">
        <v>505</v>
      </c>
      <c r="G84" s="157" t="s">
        <v>409</v>
      </c>
      <c r="H84" s="158">
        <v>2100</v>
      </c>
      <c r="I84" s="158">
        <v>2100</v>
      </c>
      <c r="J84" s="158">
        <v>2100</v>
      </c>
      <c r="K84" s="158">
        <v>2100</v>
      </c>
      <c r="L84" s="158">
        <v>2100</v>
      </c>
      <c r="M84" s="158">
        <v>2100</v>
      </c>
      <c r="N84" s="158">
        <v>2100</v>
      </c>
      <c r="O84" s="158">
        <f>23100</f>
        <v>23100</v>
      </c>
      <c r="P84" s="158">
        <f>SUM(H84:O84)</f>
        <v>37800</v>
      </c>
    </row>
    <row r="85" spans="1:16" ht="18" customHeight="1" x14ac:dyDescent="0.25">
      <c r="A85" s="469"/>
      <c r="B85" s="470"/>
      <c r="C85" s="471"/>
      <c r="D85" s="472"/>
      <c r="E85" s="474"/>
      <c r="F85" s="165" t="s">
        <v>506</v>
      </c>
      <c r="G85" s="159" t="s">
        <v>410</v>
      </c>
      <c r="H85" s="160">
        <v>1093</v>
      </c>
      <c r="I85" s="160">
        <f>1433+90</f>
        <v>1523</v>
      </c>
      <c r="J85" s="160">
        <f>1388+84</f>
        <v>1472</v>
      </c>
      <c r="K85" s="160">
        <f>1300+79</f>
        <v>1379</v>
      </c>
      <c r="L85" s="160">
        <f>1213+74</f>
        <v>1287</v>
      </c>
      <c r="M85" s="160">
        <f>1128+69</f>
        <v>1197</v>
      </c>
      <c r="N85" s="160">
        <f>1037+63</f>
        <v>1100</v>
      </c>
      <c r="O85" s="160">
        <v>5979</v>
      </c>
      <c r="P85" s="160">
        <f>SUM(H85:O85)</f>
        <v>15030</v>
      </c>
    </row>
    <row r="86" spans="1:16" ht="18" customHeight="1" x14ac:dyDescent="0.25">
      <c r="A86" s="469"/>
      <c r="B86" s="470"/>
      <c r="C86" s="471"/>
      <c r="D86" s="472"/>
      <c r="E86" s="474"/>
      <c r="F86" s="161"/>
      <c r="G86" s="161" t="s">
        <v>411</v>
      </c>
      <c r="H86" s="162">
        <f t="shared" ref="H86:P86" si="26">SUM(H84:H85)</f>
        <v>3193</v>
      </c>
      <c r="I86" s="162">
        <f t="shared" si="26"/>
        <v>3623</v>
      </c>
      <c r="J86" s="162">
        <f t="shared" si="26"/>
        <v>3572</v>
      </c>
      <c r="K86" s="162">
        <f t="shared" si="26"/>
        <v>3479</v>
      </c>
      <c r="L86" s="162">
        <f t="shared" si="26"/>
        <v>3387</v>
      </c>
      <c r="M86" s="162">
        <f t="shared" si="26"/>
        <v>3297</v>
      </c>
      <c r="N86" s="162">
        <f t="shared" si="26"/>
        <v>3200</v>
      </c>
      <c r="O86" s="162">
        <f t="shared" si="26"/>
        <v>29079</v>
      </c>
      <c r="P86" s="162">
        <f t="shared" si="26"/>
        <v>52830</v>
      </c>
    </row>
    <row r="87" spans="1:16" ht="17.25" customHeight="1" x14ac:dyDescent="0.25">
      <c r="A87" s="469">
        <f>A84+1</f>
        <v>27</v>
      </c>
      <c r="B87" s="470" t="s">
        <v>405</v>
      </c>
      <c r="C87" s="471" t="s">
        <v>507</v>
      </c>
      <c r="D87" s="472">
        <v>40522</v>
      </c>
      <c r="E87" s="474" t="s">
        <v>508</v>
      </c>
      <c r="F87" s="171" t="s">
        <v>509</v>
      </c>
      <c r="G87" s="157" t="s">
        <v>409</v>
      </c>
      <c r="H87" s="158">
        <v>14238</v>
      </c>
      <c r="I87" s="164">
        <v>0</v>
      </c>
      <c r="J87" s="164">
        <v>0</v>
      </c>
      <c r="K87" s="164">
        <v>0</v>
      </c>
      <c r="L87" s="164">
        <v>0</v>
      </c>
      <c r="M87" s="164">
        <v>0</v>
      </c>
      <c r="N87" s="164">
        <v>0</v>
      </c>
      <c r="O87" s="164">
        <v>0</v>
      </c>
      <c r="P87" s="158">
        <f>SUM(H87:O87)</f>
        <v>14238</v>
      </c>
    </row>
    <row r="88" spans="1:16" ht="15.75" customHeight="1" x14ac:dyDescent="0.25">
      <c r="A88" s="469"/>
      <c r="B88" s="470"/>
      <c r="C88" s="471"/>
      <c r="D88" s="472"/>
      <c r="E88" s="474"/>
      <c r="F88" s="165" t="s">
        <v>510</v>
      </c>
      <c r="G88" s="159" t="s">
        <v>410</v>
      </c>
      <c r="H88" s="160">
        <v>198</v>
      </c>
      <c r="I88" s="166">
        <v>0</v>
      </c>
      <c r="J88" s="166">
        <v>0</v>
      </c>
      <c r="K88" s="166">
        <v>0</v>
      </c>
      <c r="L88" s="166">
        <v>0</v>
      </c>
      <c r="M88" s="166">
        <v>0</v>
      </c>
      <c r="N88" s="166">
        <v>0</v>
      </c>
      <c r="O88" s="166">
        <v>0</v>
      </c>
      <c r="P88" s="160">
        <f>SUM(H88:O88)</f>
        <v>198</v>
      </c>
    </row>
    <row r="89" spans="1:16" ht="15.75" customHeight="1" x14ac:dyDescent="0.25">
      <c r="A89" s="469"/>
      <c r="B89" s="470"/>
      <c r="C89" s="471"/>
      <c r="D89" s="472"/>
      <c r="E89" s="474"/>
      <c r="F89" s="161"/>
      <c r="G89" s="161" t="s">
        <v>411</v>
      </c>
      <c r="H89" s="162">
        <f t="shared" ref="H89:P89" si="27">SUM(H87:H88)</f>
        <v>14436</v>
      </c>
      <c r="I89" s="162">
        <f t="shared" si="27"/>
        <v>0</v>
      </c>
      <c r="J89" s="162">
        <f t="shared" si="27"/>
        <v>0</v>
      </c>
      <c r="K89" s="162">
        <f t="shared" si="27"/>
        <v>0</v>
      </c>
      <c r="L89" s="162">
        <f t="shared" si="27"/>
        <v>0</v>
      </c>
      <c r="M89" s="162">
        <f t="shared" si="27"/>
        <v>0</v>
      </c>
      <c r="N89" s="162">
        <f t="shared" si="27"/>
        <v>0</v>
      </c>
      <c r="O89" s="162">
        <f t="shared" si="27"/>
        <v>0</v>
      </c>
      <c r="P89" s="162">
        <f t="shared" si="27"/>
        <v>14436</v>
      </c>
    </row>
    <row r="90" spans="1:16" ht="17.25" customHeight="1" x14ac:dyDescent="0.25">
      <c r="A90" s="469">
        <f>A87+1</f>
        <v>28</v>
      </c>
      <c r="B90" s="470" t="s">
        <v>405</v>
      </c>
      <c r="C90" s="471" t="s">
        <v>511</v>
      </c>
      <c r="D90" s="472">
        <v>40651</v>
      </c>
      <c r="E90" s="474" t="s">
        <v>512</v>
      </c>
      <c r="F90" s="163" t="s">
        <v>513</v>
      </c>
      <c r="G90" s="157" t="s">
        <v>409</v>
      </c>
      <c r="H90" s="158">
        <v>6170</v>
      </c>
      <c r="I90" s="158">
        <v>6170</v>
      </c>
      <c r="J90" s="158">
        <v>6169</v>
      </c>
      <c r="K90" s="158">
        <v>3062</v>
      </c>
      <c r="L90" s="164">
        <v>0</v>
      </c>
      <c r="M90" s="164"/>
      <c r="N90" s="164"/>
      <c r="O90" s="164">
        <v>0</v>
      </c>
      <c r="P90" s="158">
        <f>SUM(H90:O90)</f>
        <v>21571</v>
      </c>
    </row>
    <row r="91" spans="1:16" ht="16.149999999999999" customHeight="1" x14ac:dyDescent="0.25">
      <c r="A91" s="469"/>
      <c r="B91" s="470"/>
      <c r="C91" s="471"/>
      <c r="D91" s="472"/>
      <c r="E91" s="474"/>
      <c r="F91" s="165" t="s">
        <v>514</v>
      </c>
      <c r="G91" s="159" t="s">
        <v>410</v>
      </c>
      <c r="H91" s="160">
        <f>338+25</f>
        <v>363</v>
      </c>
      <c r="I91" s="160">
        <f>557+37</f>
        <v>594</v>
      </c>
      <c r="J91" s="160">
        <f>345+21</f>
        <v>366</v>
      </c>
      <c r="K91" s="160">
        <f>79+5</f>
        <v>84</v>
      </c>
      <c r="L91" s="166"/>
      <c r="M91" s="166"/>
      <c r="N91" s="166"/>
      <c r="O91" s="166"/>
      <c r="P91" s="160">
        <f>SUM(H91:O91)</f>
        <v>1407</v>
      </c>
    </row>
    <row r="92" spans="1:16" ht="16.149999999999999" customHeight="1" x14ac:dyDescent="0.25">
      <c r="A92" s="469"/>
      <c r="B92" s="482"/>
      <c r="C92" s="484"/>
      <c r="D92" s="475"/>
      <c r="E92" s="478"/>
      <c r="F92" s="168"/>
      <c r="G92" s="168" t="s">
        <v>411</v>
      </c>
      <c r="H92" s="162">
        <f t="shared" ref="H92:P92" si="28">SUM(H90:H91)</f>
        <v>6533</v>
      </c>
      <c r="I92" s="162">
        <f t="shared" si="28"/>
        <v>6764</v>
      </c>
      <c r="J92" s="162">
        <f t="shared" si="28"/>
        <v>6535</v>
      </c>
      <c r="K92" s="162">
        <f t="shared" si="28"/>
        <v>3146</v>
      </c>
      <c r="L92" s="162">
        <f t="shared" si="28"/>
        <v>0</v>
      </c>
      <c r="M92" s="162">
        <f t="shared" si="28"/>
        <v>0</v>
      </c>
      <c r="N92" s="162">
        <f t="shared" si="28"/>
        <v>0</v>
      </c>
      <c r="O92" s="162">
        <f t="shared" si="28"/>
        <v>0</v>
      </c>
      <c r="P92" s="162">
        <f t="shared" si="28"/>
        <v>22978</v>
      </c>
    </row>
    <row r="93" spans="1:16" ht="16.5" customHeight="1" x14ac:dyDescent="0.25">
      <c r="A93" s="469">
        <f>A90+1</f>
        <v>29</v>
      </c>
      <c r="B93" s="470" t="s">
        <v>405</v>
      </c>
      <c r="C93" s="471" t="s">
        <v>515</v>
      </c>
      <c r="D93" s="472">
        <v>40651</v>
      </c>
      <c r="E93" s="474" t="s">
        <v>512</v>
      </c>
      <c r="F93" s="167" t="s">
        <v>516</v>
      </c>
      <c r="G93" s="157" t="s">
        <v>409</v>
      </c>
      <c r="H93" s="158">
        <v>2447</v>
      </c>
      <c r="I93" s="158">
        <v>2447</v>
      </c>
      <c r="J93" s="158">
        <v>2448</v>
      </c>
      <c r="K93" s="158">
        <v>1224</v>
      </c>
      <c r="L93" s="164">
        <v>0</v>
      </c>
      <c r="M93" s="164">
        <v>0</v>
      </c>
      <c r="N93" s="164">
        <v>0</v>
      </c>
      <c r="O93" s="164">
        <v>0</v>
      </c>
      <c r="P93" s="158">
        <f>SUM(H93:O93)</f>
        <v>8566</v>
      </c>
    </row>
    <row r="94" spans="1:16" ht="17.25" customHeight="1" x14ac:dyDescent="0.25">
      <c r="A94" s="469"/>
      <c r="B94" s="470"/>
      <c r="C94" s="471"/>
      <c r="D94" s="472"/>
      <c r="E94" s="474"/>
      <c r="F94" s="165" t="s">
        <v>517</v>
      </c>
      <c r="G94" s="159" t="s">
        <v>410</v>
      </c>
      <c r="H94" s="160">
        <f>134+10</f>
        <v>144</v>
      </c>
      <c r="I94" s="160">
        <f>221+15</f>
        <v>236</v>
      </c>
      <c r="J94" s="160">
        <f>137+8</f>
        <v>145</v>
      </c>
      <c r="K94" s="160">
        <f>32+2</f>
        <v>34</v>
      </c>
      <c r="L94" s="166">
        <v>0</v>
      </c>
      <c r="M94" s="166">
        <v>0</v>
      </c>
      <c r="N94" s="166">
        <v>0</v>
      </c>
      <c r="O94" s="166">
        <v>0</v>
      </c>
      <c r="P94" s="160">
        <f>SUM(H94:O94)</f>
        <v>559</v>
      </c>
    </row>
    <row r="95" spans="1:16" ht="17.25" customHeight="1" x14ac:dyDescent="0.25">
      <c r="A95" s="469"/>
      <c r="B95" s="470"/>
      <c r="C95" s="471"/>
      <c r="D95" s="472"/>
      <c r="E95" s="474"/>
      <c r="F95" s="161"/>
      <c r="G95" s="161" t="s">
        <v>411</v>
      </c>
      <c r="H95" s="162">
        <f t="shared" ref="H95:P95" si="29">SUM(H93:H94)</f>
        <v>2591</v>
      </c>
      <c r="I95" s="162">
        <f t="shared" si="29"/>
        <v>2683</v>
      </c>
      <c r="J95" s="162">
        <f t="shared" si="29"/>
        <v>2593</v>
      </c>
      <c r="K95" s="162">
        <f t="shared" si="29"/>
        <v>1258</v>
      </c>
      <c r="L95" s="162">
        <f t="shared" si="29"/>
        <v>0</v>
      </c>
      <c r="M95" s="162">
        <f t="shared" si="29"/>
        <v>0</v>
      </c>
      <c r="N95" s="162">
        <f t="shared" si="29"/>
        <v>0</v>
      </c>
      <c r="O95" s="162">
        <f t="shared" si="29"/>
        <v>0</v>
      </c>
      <c r="P95" s="162">
        <f t="shared" si="29"/>
        <v>9125</v>
      </c>
    </row>
    <row r="96" spans="1:16" ht="18" customHeight="1" x14ac:dyDescent="0.25">
      <c r="A96" s="469">
        <f>A93+1</f>
        <v>30</v>
      </c>
      <c r="B96" s="470" t="s">
        <v>405</v>
      </c>
      <c r="C96" s="481" t="s">
        <v>518</v>
      </c>
      <c r="D96" s="472">
        <v>40868</v>
      </c>
      <c r="E96" s="474" t="s">
        <v>519</v>
      </c>
      <c r="F96" s="167" t="s">
        <v>520</v>
      </c>
      <c r="G96" s="157" t="s">
        <v>409</v>
      </c>
      <c r="H96" s="158">
        <v>7262</v>
      </c>
      <c r="I96" s="158">
        <v>7262</v>
      </c>
      <c r="J96" s="158">
        <v>7262</v>
      </c>
      <c r="K96" s="158">
        <v>7263</v>
      </c>
      <c r="L96" s="164">
        <v>0</v>
      </c>
      <c r="M96" s="164">
        <v>0</v>
      </c>
      <c r="N96" s="164">
        <v>0</v>
      </c>
      <c r="O96" s="164">
        <v>0</v>
      </c>
      <c r="P96" s="158">
        <f>SUM(H96:O96)</f>
        <v>29049</v>
      </c>
    </row>
    <row r="97" spans="1:16" ht="15.75" customHeight="1" x14ac:dyDescent="0.25">
      <c r="A97" s="469"/>
      <c r="B97" s="470"/>
      <c r="C97" s="471"/>
      <c r="D97" s="472"/>
      <c r="E97" s="474"/>
      <c r="F97" s="165" t="s">
        <v>521</v>
      </c>
      <c r="G97" s="159" t="s">
        <v>410</v>
      </c>
      <c r="H97" s="160">
        <v>804</v>
      </c>
      <c r="I97" s="160">
        <f>833+52</f>
        <v>885</v>
      </c>
      <c r="J97" s="160">
        <f>559+34</f>
        <v>593</v>
      </c>
      <c r="K97" s="160">
        <f>256+16</f>
        <v>272</v>
      </c>
      <c r="L97" s="166">
        <v>9</v>
      </c>
      <c r="M97" s="166">
        <v>0</v>
      </c>
      <c r="N97" s="166">
        <v>0</v>
      </c>
      <c r="O97" s="166">
        <v>0</v>
      </c>
      <c r="P97" s="160">
        <f>SUM(H97:O97)</f>
        <v>2563</v>
      </c>
    </row>
    <row r="98" spans="1:16" ht="15.75" customHeight="1" x14ac:dyDescent="0.25">
      <c r="A98" s="469"/>
      <c r="B98" s="470"/>
      <c r="C98" s="471"/>
      <c r="D98" s="472"/>
      <c r="E98" s="474"/>
      <c r="F98" s="161"/>
      <c r="G98" s="161" t="s">
        <v>411</v>
      </c>
      <c r="H98" s="162">
        <f t="shared" ref="H98:P98" si="30">SUM(H96:H97)</f>
        <v>8066</v>
      </c>
      <c r="I98" s="162">
        <f t="shared" si="30"/>
        <v>8147</v>
      </c>
      <c r="J98" s="162">
        <f t="shared" si="30"/>
        <v>7855</v>
      </c>
      <c r="K98" s="162">
        <f t="shared" si="30"/>
        <v>7535</v>
      </c>
      <c r="L98" s="162">
        <f t="shared" si="30"/>
        <v>9</v>
      </c>
      <c r="M98" s="162">
        <f t="shared" si="30"/>
        <v>0</v>
      </c>
      <c r="N98" s="162">
        <f t="shared" si="30"/>
        <v>0</v>
      </c>
      <c r="O98" s="162">
        <f t="shared" si="30"/>
        <v>0</v>
      </c>
      <c r="P98" s="162">
        <f t="shared" si="30"/>
        <v>31612</v>
      </c>
    </row>
    <row r="99" spans="1:16" ht="19.149999999999999" customHeight="1" x14ac:dyDescent="0.25">
      <c r="A99" s="469">
        <f>A96+1</f>
        <v>31</v>
      </c>
      <c r="B99" s="470" t="s">
        <v>405</v>
      </c>
      <c r="C99" s="471" t="s">
        <v>522</v>
      </c>
      <c r="D99" s="472">
        <v>40932</v>
      </c>
      <c r="E99" s="474" t="s">
        <v>523</v>
      </c>
      <c r="F99" s="167" t="s">
        <v>524</v>
      </c>
      <c r="G99" s="157" t="s">
        <v>409</v>
      </c>
      <c r="H99" s="158">
        <v>22271</v>
      </c>
      <c r="I99" s="158">
        <v>22271</v>
      </c>
      <c r="J99" s="158">
        <v>22271</v>
      </c>
      <c r="K99" s="158">
        <v>22271</v>
      </c>
      <c r="L99" s="158">
        <v>22271</v>
      </c>
      <c r="M99" s="158">
        <v>22271</v>
      </c>
      <c r="N99" s="158">
        <v>22271</v>
      </c>
      <c r="O99" s="158">
        <f>50108</f>
        <v>50108</v>
      </c>
      <c r="P99" s="158">
        <f>SUM(H99:O99)</f>
        <v>206005</v>
      </c>
    </row>
    <row r="100" spans="1:16" ht="15.6" customHeight="1" x14ac:dyDescent="0.25">
      <c r="A100" s="469"/>
      <c r="B100" s="470"/>
      <c r="C100" s="471"/>
      <c r="D100" s="472"/>
      <c r="E100" s="474"/>
      <c r="F100" s="165" t="s">
        <v>525</v>
      </c>
      <c r="G100" s="159" t="s">
        <v>410</v>
      </c>
      <c r="H100" s="160">
        <f>5064+50</f>
        <v>5114</v>
      </c>
      <c r="I100" s="160">
        <f>7067+458</f>
        <v>7525</v>
      </c>
      <c r="J100" s="160">
        <f>6590+400</f>
        <v>6990</v>
      </c>
      <c r="K100" s="160">
        <f>5663+344</f>
        <v>6007</v>
      </c>
      <c r="L100" s="160">
        <f>4734+288</f>
        <v>5022</v>
      </c>
      <c r="M100" s="160">
        <f>3813+232</f>
        <v>4045</v>
      </c>
      <c r="N100" s="160">
        <f>2873+175</f>
        <v>3048</v>
      </c>
      <c r="O100" s="160">
        <v>3271</v>
      </c>
      <c r="P100" s="160">
        <f>SUM(H100:O100)</f>
        <v>41022</v>
      </c>
    </row>
    <row r="101" spans="1:16" ht="16.149999999999999" customHeight="1" x14ac:dyDescent="0.25">
      <c r="A101" s="469"/>
      <c r="B101" s="470"/>
      <c r="C101" s="471"/>
      <c r="D101" s="472"/>
      <c r="E101" s="474"/>
      <c r="F101" s="161"/>
      <c r="G101" s="161" t="s">
        <v>411</v>
      </c>
      <c r="H101" s="162">
        <f t="shared" ref="H101:P101" si="31">SUM(H99:H100)</f>
        <v>27385</v>
      </c>
      <c r="I101" s="162">
        <f t="shared" si="31"/>
        <v>29796</v>
      </c>
      <c r="J101" s="162">
        <f t="shared" si="31"/>
        <v>29261</v>
      </c>
      <c r="K101" s="162">
        <f t="shared" si="31"/>
        <v>28278</v>
      </c>
      <c r="L101" s="162">
        <f t="shared" si="31"/>
        <v>27293</v>
      </c>
      <c r="M101" s="162">
        <f t="shared" si="31"/>
        <v>26316</v>
      </c>
      <c r="N101" s="162">
        <f t="shared" si="31"/>
        <v>25319</v>
      </c>
      <c r="O101" s="162">
        <f t="shared" si="31"/>
        <v>53379</v>
      </c>
      <c r="P101" s="162">
        <f t="shared" si="31"/>
        <v>247027</v>
      </c>
    </row>
    <row r="102" spans="1:16" ht="14.25" customHeight="1" x14ac:dyDescent="0.25">
      <c r="A102" s="469">
        <f>A99+1</f>
        <v>32</v>
      </c>
      <c r="B102" s="470" t="s">
        <v>405</v>
      </c>
      <c r="C102" s="471" t="s">
        <v>526</v>
      </c>
      <c r="D102" s="485">
        <v>41019</v>
      </c>
      <c r="E102" s="474" t="s">
        <v>485</v>
      </c>
      <c r="F102" s="167" t="s">
        <v>527</v>
      </c>
      <c r="G102" s="157" t="s">
        <v>409</v>
      </c>
      <c r="H102" s="158">
        <v>1980</v>
      </c>
      <c r="I102" s="158">
        <v>1980</v>
      </c>
      <c r="J102" s="158">
        <v>1980</v>
      </c>
      <c r="K102" s="158">
        <v>1980</v>
      </c>
      <c r="L102" s="158">
        <v>1980</v>
      </c>
      <c r="M102" s="158">
        <v>1980</v>
      </c>
      <c r="N102" s="158">
        <v>1980</v>
      </c>
      <c r="O102" s="158">
        <v>1980</v>
      </c>
      <c r="P102" s="158">
        <f>SUM(H102:O102)</f>
        <v>15840</v>
      </c>
    </row>
    <row r="103" spans="1:16" ht="15.75" customHeight="1" x14ac:dyDescent="0.25">
      <c r="A103" s="469"/>
      <c r="B103" s="470"/>
      <c r="C103" s="471"/>
      <c r="D103" s="485"/>
      <c r="E103" s="474"/>
      <c r="F103" s="165" t="s">
        <v>528</v>
      </c>
      <c r="G103" s="159" t="s">
        <v>410</v>
      </c>
      <c r="H103" s="160">
        <f>267+20</f>
        <v>287</v>
      </c>
      <c r="I103" s="160">
        <f>525+34</f>
        <v>559</v>
      </c>
      <c r="J103" s="160">
        <f>483+29</f>
        <v>512</v>
      </c>
      <c r="K103" s="160">
        <f>400+24</f>
        <v>424</v>
      </c>
      <c r="L103" s="160">
        <f>318+19</f>
        <v>337</v>
      </c>
      <c r="M103" s="160">
        <f>235+14</f>
        <v>249</v>
      </c>
      <c r="N103" s="160">
        <f>152+9</f>
        <v>161</v>
      </c>
      <c r="O103" s="160">
        <v>79</v>
      </c>
      <c r="P103" s="160">
        <f>SUM(H103:O103)</f>
        <v>2608</v>
      </c>
    </row>
    <row r="104" spans="1:16" ht="15.75" customHeight="1" x14ac:dyDescent="0.25">
      <c r="A104" s="469"/>
      <c r="B104" s="470"/>
      <c r="C104" s="471"/>
      <c r="D104" s="485"/>
      <c r="E104" s="474"/>
      <c r="F104" s="161"/>
      <c r="G104" s="161" t="s">
        <v>411</v>
      </c>
      <c r="H104" s="162">
        <f t="shared" ref="H104:P104" si="32">SUM(H102:H103)</f>
        <v>2267</v>
      </c>
      <c r="I104" s="162">
        <f t="shared" si="32"/>
        <v>2539</v>
      </c>
      <c r="J104" s="162">
        <f t="shared" si="32"/>
        <v>2492</v>
      </c>
      <c r="K104" s="162">
        <f t="shared" si="32"/>
        <v>2404</v>
      </c>
      <c r="L104" s="162">
        <f t="shared" si="32"/>
        <v>2317</v>
      </c>
      <c r="M104" s="162">
        <f t="shared" si="32"/>
        <v>2229</v>
      </c>
      <c r="N104" s="162">
        <f t="shared" si="32"/>
        <v>2141</v>
      </c>
      <c r="O104" s="162">
        <f t="shared" si="32"/>
        <v>2059</v>
      </c>
      <c r="P104" s="162">
        <f t="shared" si="32"/>
        <v>18448</v>
      </c>
    </row>
    <row r="105" spans="1:16" ht="18.600000000000001" customHeight="1" x14ac:dyDescent="0.25">
      <c r="A105" s="469">
        <f>A102+1</f>
        <v>33</v>
      </c>
      <c r="B105" s="470" t="s">
        <v>405</v>
      </c>
      <c r="C105" s="471" t="s">
        <v>529</v>
      </c>
      <c r="D105" s="485">
        <v>41019</v>
      </c>
      <c r="E105" s="474" t="s">
        <v>530</v>
      </c>
      <c r="F105" s="167" t="s">
        <v>531</v>
      </c>
      <c r="G105" s="157" t="s">
        <v>409</v>
      </c>
      <c r="H105" s="158">
        <v>7803</v>
      </c>
      <c r="I105" s="158">
        <v>7803</v>
      </c>
      <c r="J105" s="158">
        <v>7803</v>
      </c>
      <c r="K105" s="158">
        <v>7803</v>
      </c>
      <c r="L105" s="158">
        <v>7803</v>
      </c>
      <c r="M105" s="158">
        <v>7803</v>
      </c>
      <c r="N105" s="158">
        <v>7803</v>
      </c>
      <c r="O105" s="158">
        <f>97538</f>
        <v>97538</v>
      </c>
      <c r="P105" s="158">
        <f>SUM(H105:O105)</f>
        <v>152159</v>
      </c>
    </row>
    <row r="106" spans="1:16" ht="15.6" customHeight="1" x14ac:dyDescent="0.25">
      <c r="A106" s="469"/>
      <c r="B106" s="470"/>
      <c r="C106" s="471"/>
      <c r="D106" s="485"/>
      <c r="E106" s="474"/>
      <c r="F106" s="165" t="s">
        <v>532</v>
      </c>
      <c r="G106" s="159" t="s">
        <v>410</v>
      </c>
      <c r="H106" s="160">
        <f>2642+200</f>
        <v>2842</v>
      </c>
      <c r="I106" s="160">
        <f>5559+363</f>
        <v>5922</v>
      </c>
      <c r="J106" s="160">
        <f>5645+343</f>
        <v>5988</v>
      </c>
      <c r="K106" s="160">
        <f>5320+323</f>
        <v>5643</v>
      </c>
      <c r="L106" s="160">
        <f>4995+303</f>
        <v>5298</v>
      </c>
      <c r="M106" s="160">
        <f>4681+284</f>
        <v>4965</v>
      </c>
      <c r="N106" s="160">
        <f>4343+264</f>
        <v>4607</v>
      </c>
      <c r="O106" s="160">
        <v>28477</v>
      </c>
      <c r="P106" s="160">
        <f>SUM(H106:O106)</f>
        <v>63742</v>
      </c>
    </row>
    <row r="107" spans="1:16" ht="15" customHeight="1" x14ac:dyDescent="0.25">
      <c r="A107" s="469"/>
      <c r="B107" s="470"/>
      <c r="C107" s="471"/>
      <c r="D107" s="485"/>
      <c r="E107" s="474"/>
      <c r="F107" s="161"/>
      <c r="G107" s="161" t="s">
        <v>411</v>
      </c>
      <c r="H107" s="162">
        <f t="shared" ref="H107:P107" si="33">SUM(H105:H106)</f>
        <v>10645</v>
      </c>
      <c r="I107" s="162">
        <f t="shared" si="33"/>
        <v>13725</v>
      </c>
      <c r="J107" s="162">
        <f t="shared" si="33"/>
        <v>13791</v>
      </c>
      <c r="K107" s="162">
        <f t="shared" si="33"/>
        <v>13446</v>
      </c>
      <c r="L107" s="162">
        <f t="shared" si="33"/>
        <v>13101</v>
      </c>
      <c r="M107" s="162">
        <f t="shared" si="33"/>
        <v>12768</v>
      </c>
      <c r="N107" s="162">
        <f t="shared" si="33"/>
        <v>12410</v>
      </c>
      <c r="O107" s="162">
        <f t="shared" si="33"/>
        <v>126015</v>
      </c>
      <c r="P107" s="162">
        <f t="shared" si="33"/>
        <v>215901</v>
      </c>
    </row>
    <row r="108" spans="1:16" ht="16.149999999999999" customHeight="1" x14ac:dyDescent="0.25">
      <c r="A108" s="469">
        <f>A105+1</f>
        <v>34</v>
      </c>
      <c r="B108" s="470" t="s">
        <v>405</v>
      </c>
      <c r="C108" s="471" t="s">
        <v>533</v>
      </c>
      <c r="D108" s="485">
        <v>41019</v>
      </c>
      <c r="E108" s="474" t="s">
        <v>530</v>
      </c>
      <c r="F108" s="167" t="s">
        <v>534</v>
      </c>
      <c r="G108" s="157" t="s">
        <v>409</v>
      </c>
      <c r="H108" s="158">
        <v>3421</v>
      </c>
      <c r="I108" s="158">
        <v>3421</v>
      </c>
      <c r="J108" s="158">
        <v>3421</v>
      </c>
      <c r="K108" s="158">
        <v>3421</v>
      </c>
      <c r="L108" s="158">
        <v>3421</v>
      </c>
      <c r="M108" s="158">
        <v>3421</v>
      </c>
      <c r="N108" s="158">
        <v>3421</v>
      </c>
      <c r="O108" s="158">
        <v>42754</v>
      </c>
      <c r="P108" s="158">
        <f>SUM(H108:O108)</f>
        <v>66701</v>
      </c>
    </row>
    <row r="109" spans="1:16" ht="16.149999999999999" customHeight="1" x14ac:dyDescent="0.25">
      <c r="A109" s="469"/>
      <c r="B109" s="470"/>
      <c r="C109" s="471"/>
      <c r="D109" s="485"/>
      <c r="E109" s="474"/>
      <c r="F109" s="165" t="s">
        <v>535</v>
      </c>
      <c r="G109" s="159" t="s">
        <v>410</v>
      </c>
      <c r="H109" s="160">
        <f>1158+88</f>
        <v>1246</v>
      </c>
      <c r="I109" s="160">
        <f>2437+159</f>
        <v>2596</v>
      </c>
      <c r="J109" s="160">
        <f>2475+150</f>
        <v>2625</v>
      </c>
      <c r="K109" s="160">
        <f>2332+142</f>
        <v>2474</v>
      </c>
      <c r="L109" s="160">
        <f>2189+133</f>
        <v>2322</v>
      </c>
      <c r="M109" s="160">
        <f>2052+125</f>
        <v>2177</v>
      </c>
      <c r="N109" s="160">
        <f>1904+115</f>
        <v>2019</v>
      </c>
      <c r="O109" s="160">
        <v>12485</v>
      </c>
      <c r="P109" s="160">
        <f>SUM(H109:O109)</f>
        <v>27944</v>
      </c>
    </row>
    <row r="110" spans="1:16" ht="16.149999999999999" customHeight="1" x14ac:dyDescent="0.25">
      <c r="A110" s="469"/>
      <c r="B110" s="482"/>
      <c r="C110" s="484"/>
      <c r="D110" s="486"/>
      <c r="E110" s="478"/>
      <c r="F110" s="168"/>
      <c r="G110" s="168" t="s">
        <v>411</v>
      </c>
      <c r="H110" s="162">
        <f t="shared" ref="H110:P110" si="34">SUM(H108:H109)</f>
        <v>4667</v>
      </c>
      <c r="I110" s="162">
        <f t="shared" si="34"/>
        <v>6017</v>
      </c>
      <c r="J110" s="162">
        <f t="shared" si="34"/>
        <v>6046</v>
      </c>
      <c r="K110" s="162">
        <f t="shared" si="34"/>
        <v>5895</v>
      </c>
      <c r="L110" s="162">
        <f t="shared" si="34"/>
        <v>5743</v>
      </c>
      <c r="M110" s="162">
        <f t="shared" si="34"/>
        <v>5598</v>
      </c>
      <c r="N110" s="162">
        <f t="shared" si="34"/>
        <v>5440</v>
      </c>
      <c r="O110" s="162">
        <f t="shared" si="34"/>
        <v>55239</v>
      </c>
      <c r="P110" s="162">
        <f t="shared" si="34"/>
        <v>94645</v>
      </c>
    </row>
    <row r="111" spans="1:16" ht="16.5" customHeight="1" x14ac:dyDescent="0.25">
      <c r="A111" s="469">
        <f>A108+1</f>
        <v>35</v>
      </c>
      <c r="B111" s="470" t="s">
        <v>405</v>
      </c>
      <c r="C111" s="471" t="s">
        <v>536</v>
      </c>
      <c r="D111" s="472">
        <v>41100</v>
      </c>
      <c r="E111" s="474" t="s">
        <v>537</v>
      </c>
      <c r="F111" s="167" t="s">
        <v>538</v>
      </c>
      <c r="G111" s="157" t="s">
        <v>409</v>
      </c>
      <c r="H111" s="158">
        <v>3563</v>
      </c>
      <c r="I111" s="158">
        <v>3563</v>
      </c>
      <c r="J111" s="158">
        <v>3563</v>
      </c>
      <c r="K111" s="158">
        <v>3563</v>
      </c>
      <c r="L111" s="158">
        <v>3563</v>
      </c>
      <c r="M111" s="158">
        <v>3563</v>
      </c>
      <c r="N111" s="158">
        <v>3563</v>
      </c>
      <c r="O111" s="158">
        <f>45426</f>
        <v>45426</v>
      </c>
      <c r="P111" s="158">
        <f>SUM(H111:O111)</f>
        <v>70367</v>
      </c>
    </row>
    <row r="112" spans="1:16" ht="15.75" customHeight="1" x14ac:dyDescent="0.25">
      <c r="A112" s="469"/>
      <c r="B112" s="470"/>
      <c r="C112" s="471"/>
      <c r="D112" s="472"/>
      <c r="E112" s="474"/>
      <c r="F112" s="165" t="s">
        <v>539</v>
      </c>
      <c r="G112" s="159" t="s">
        <v>410</v>
      </c>
      <c r="H112" s="160">
        <f>1305+138</f>
        <v>1443</v>
      </c>
      <c r="I112" s="160">
        <f>2798+168</f>
        <v>2966</v>
      </c>
      <c r="J112" s="160">
        <f>2615+159</f>
        <v>2774</v>
      </c>
      <c r="K112" s="160">
        <f>2466+150</f>
        <v>2616</v>
      </c>
      <c r="L112" s="160">
        <f>2318+141</f>
        <v>2459</v>
      </c>
      <c r="M112" s="160">
        <f>2175+132</f>
        <v>2307</v>
      </c>
      <c r="N112" s="160">
        <f>2020+123</f>
        <v>2143</v>
      </c>
      <c r="O112" s="160">
        <v>13516</v>
      </c>
      <c r="P112" s="160">
        <f>SUM(H112:O112)</f>
        <v>30224</v>
      </c>
    </row>
    <row r="113" spans="1:16" ht="18" customHeight="1" x14ac:dyDescent="0.25">
      <c r="A113" s="469"/>
      <c r="B113" s="470"/>
      <c r="C113" s="471"/>
      <c r="D113" s="472"/>
      <c r="E113" s="474"/>
      <c r="F113" s="161"/>
      <c r="G113" s="161" t="s">
        <v>411</v>
      </c>
      <c r="H113" s="162">
        <f t="shared" ref="H113:P113" si="35">SUM(H111:H112)</f>
        <v>5006</v>
      </c>
      <c r="I113" s="162">
        <f t="shared" si="35"/>
        <v>6529</v>
      </c>
      <c r="J113" s="162">
        <f t="shared" si="35"/>
        <v>6337</v>
      </c>
      <c r="K113" s="162">
        <f t="shared" si="35"/>
        <v>6179</v>
      </c>
      <c r="L113" s="162">
        <f t="shared" si="35"/>
        <v>6022</v>
      </c>
      <c r="M113" s="162">
        <f t="shared" si="35"/>
        <v>5870</v>
      </c>
      <c r="N113" s="162">
        <f t="shared" si="35"/>
        <v>5706</v>
      </c>
      <c r="O113" s="162">
        <f t="shared" si="35"/>
        <v>58942</v>
      </c>
      <c r="P113" s="162">
        <f t="shared" si="35"/>
        <v>100591</v>
      </c>
    </row>
    <row r="114" spans="1:16" ht="15.75" customHeight="1" x14ac:dyDescent="0.25">
      <c r="A114" s="469">
        <f>A111+1</f>
        <v>36</v>
      </c>
      <c r="B114" s="470" t="s">
        <v>405</v>
      </c>
      <c r="C114" s="471" t="s">
        <v>540</v>
      </c>
      <c r="D114" s="472">
        <v>41142</v>
      </c>
      <c r="E114" s="474" t="s">
        <v>541</v>
      </c>
      <c r="F114" s="167" t="s">
        <v>542</v>
      </c>
      <c r="G114" s="157" t="s">
        <v>409</v>
      </c>
      <c r="H114" s="158">
        <v>5304</v>
      </c>
      <c r="I114" s="158">
        <v>5304</v>
      </c>
      <c r="J114" s="158">
        <v>5304</v>
      </c>
      <c r="K114" s="158">
        <v>5304</v>
      </c>
      <c r="L114" s="158">
        <v>5304</v>
      </c>
      <c r="M114" s="158">
        <v>5304</v>
      </c>
      <c r="N114" s="158">
        <v>5304</v>
      </c>
      <c r="O114" s="158">
        <f>67626</f>
        <v>67626</v>
      </c>
      <c r="P114" s="158">
        <f>SUM(H114:O114)</f>
        <v>104754</v>
      </c>
    </row>
    <row r="115" spans="1:16" ht="15.75" customHeight="1" x14ac:dyDescent="0.25">
      <c r="A115" s="469"/>
      <c r="B115" s="470"/>
      <c r="C115" s="471"/>
      <c r="D115" s="472"/>
      <c r="E115" s="474"/>
      <c r="F115" s="165" t="s">
        <v>543</v>
      </c>
      <c r="G115" s="159" t="s">
        <v>410</v>
      </c>
      <c r="H115" s="160">
        <f>1963+128</f>
        <v>2091</v>
      </c>
      <c r="I115" s="160">
        <f>4125+150</f>
        <v>4275</v>
      </c>
      <c r="J115" s="160">
        <f>3892+237</f>
        <v>4129</v>
      </c>
      <c r="K115" s="160">
        <f>3672+223</f>
        <v>3895</v>
      </c>
      <c r="L115" s="160">
        <f>3450+210</f>
        <v>3660</v>
      </c>
      <c r="M115" s="160">
        <f>3237+197</f>
        <v>3434</v>
      </c>
      <c r="N115" s="160">
        <f>3007+183</f>
        <v>3190</v>
      </c>
      <c r="O115" s="160">
        <v>20126</v>
      </c>
      <c r="P115" s="160">
        <f>SUM(H115:O115)</f>
        <v>44800</v>
      </c>
    </row>
    <row r="116" spans="1:16" ht="15.75" customHeight="1" x14ac:dyDescent="0.25">
      <c r="A116" s="469"/>
      <c r="B116" s="470"/>
      <c r="C116" s="471"/>
      <c r="D116" s="472"/>
      <c r="E116" s="474"/>
      <c r="F116" s="161"/>
      <c r="G116" s="161" t="s">
        <v>411</v>
      </c>
      <c r="H116" s="162">
        <f t="shared" ref="H116:P116" si="36">SUM(H114:H115)</f>
        <v>7395</v>
      </c>
      <c r="I116" s="162">
        <f t="shared" si="36"/>
        <v>9579</v>
      </c>
      <c r="J116" s="162">
        <f t="shared" si="36"/>
        <v>9433</v>
      </c>
      <c r="K116" s="162">
        <f t="shared" si="36"/>
        <v>9199</v>
      </c>
      <c r="L116" s="162">
        <f t="shared" si="36"/>
        <v>8964</v>
      </c>
      <c r="M116" s="162">
        <f t="shared" si="36"/>
        <v>8738</v>
      </c>
      <c r="N116" s="162">
        <f t="shared" si="36"/>
        <v>8494</v>
      </c>
      <c r="O116" s="162">
        <f t="shared" si="36"/>
        <v>87752</v>
      </c>
      <c r="P116" s="162">
        <f t="shared" si="36"/>
        <v>149554</v>
      </c>
    </row>
    <row r="117" spans="1:16" ht="17.25" customHeight="1" x14ac:dyDescent="0.25">
      <c r="A117" s="469">
        <f>A114+1</f>
        <v>37</v>
      </c>
      <c r="B117" s="470" t="s">
        <v>405</v>
      </c>
      <c r="C117" s="471" t="s">
        <v>544</v>
      </c>
      <c r="D117" s="472">
        <v>41150</v>
      </c>
      <c r="E117" s="474" t="s">
        <v>545</v>
      </c>
      <c r="F117" s="167" t="s">
        <v>546</v>
      </c>
      <c r="G117" s="157" t="s">
        <v>409</v>
      </c>
      <c r="H117" s="158">
        <v>6705</v>
      </c>
      <c r="I117" s="158">
        <v>6705</v>
      </c>
      <c r="J117" s="158">
        <v>6704</v>
      </c>
      <c r="K117" s="158">
        <v>6704</v>
      </c>
      <c r="L117" s="158">
        <v>5026</v>
      </c>
      <c r="M117" s="158">
        <v>0</v>
      </c>
      <c r="N117" s="158">
        <v>0</v>
      </c>
      <c r="O117" s="164">
        <v>0</v>
      </c>
      <c r="P117" s="158">
        <f>SUM(H117:O117)</f>
        <v>31844</v>
      </c>
    </row>
    <row r="118" spans="1:16" ht="15.75" customHeight="1" x14ac:dyDescent="0.25">
      <c r="A118" s="469"/>
      <c r="B118" s="470"/>
      <c r="C118" s="471"/>
      <c r="D118" s="472"/>
      <c r="E118" s="474"/>
      <c r="F118" s="172" t="s">
        <v>547</v>
      </c>
      <c r="G118" s="159" t="s">
        <v>410</v>
      </c>
      <c r="H118" s="160">
        <f>589+22</f>
        <v>611</v>
      </c>
      <c r="I118" s="160">
        <f>1008+61</f>
        <v>1069</v>
      </c>
      <c r="J118" s="160">
        <f>725+44</f>
        <v>769</v>
      </c>
      <c r="K118" s="160">
        <f>446+27</f>
        <v>473</v>
      </c>
      <c r="L118" s="160">
        <f>161+9</f>
        <v>170</v>
      </c>
      <c r="M118" s="160">
        <v>0</v>
      </c>
      <c r="N118" s="160">
        <v>0</v>
      </c>
      <c r="O118" s="166">
        <v>0</v>
      </c>
      <c r="P118" s="160">
        <f>SUM(H118:O118)</f>
        <v>3092</v>
      </c>
    </row>
    <row r="119" spans="1:16" ht="16.5" customHeight="1" x14ac:dyDescent="0.25">
      <c r="A119" s="469"/>
      <c r="B119" s="470"/>
      <c r="C119" s="471"/>
      <c r="D119" s="472"/>
      <c r="E119" s="474"/>
      <c r="F119" s="161"/>
      <c r="G119" s="161" t="s">
        <v>411</v>
      </c>
      <c r="H119" s="162">
        <f t="shared" ref="H119:P119" si="37">SUM(H117:H118)</f>
        <v>7316</v>
      </c>
      <c r="I119" s="162">
        <f t="shared" si="37"/>
        <v>7774</v>
      </c>
      <c r="J119" s="162">
        <f t="shared" si="37"/>
        <v>7473</v>
      </c>
      <c r="K119" s="162">
        <f t="shared" si="37"/>
        <v>7177</v>
      </c>
      <c r="L119" s="162">
        <f t="shared" si="37"/>
        <v>5196</v>
      </c>
      <c r="M119" s="162">
        <f t="shared" si="37"/>
        <v>0</v>
      </c>
      <c r="N119" s="162">
        <f t="shared" si="37"/>
        <v>0</v>
      </c>
      <c r="O119" s="162">
        <f t="shared" si="37"/>
        <v>0</v>
      </c>
      <c r="P119" s="162">
        <f t="shared" si="37"/>
        <v>34936</v>
      </c>
    </row>
    <row r="120" spans="1:16" ht="16.149999999999999" customHeight="1" x14ac:dyDescent="0.25">
      <c r="A120" s="469">
        <f>A117+1</f>
        <v>38</v>
      </c>
      <c r="B120" s="470" t="s">
        <v>405</v>
      </c>
      <c r="C120" s="471" t="s">
        <v>548</v>
      </c>
      <c r="D120" s="472">
        <v>41211</v>
      </c>
      <c r="E120" s="474" t="s">
        <v>549</v>
      </c>
      <c r="F120" s="167" t="s">
        <v>550</v>
      </c>
      <c r="G120" s="157" t="s">
        <v>409</v>
      </c>
      <c r="H120" s="158">
        <v>7223</v>
      </c>
      <c r="I120" s="158">
        <v>7222</v>
      </c>
      <c r="J120" s="158">
        <v>7222</v>
      </c>
      <c r="K120" s="158">
        <v>7223</v>
      </c>
      <c r="L120" s="158">
        <v>5417</v>
      </c>
      <c r="M120" s="158">
        <v>0</v>
      </c>
      <c r="N120" s="158">
        <v>0</v>
      </c>
      <c r="O120" s="164">
        <v>0</v>
      </c>
      <c r="P120" s="158">
        <f>SUM(H120:O120)</f>
        <v>34307</v>
      </c>
    </row>
    <row r="121" spans="1:16" ht="17.25" customHeight="1" x14ac:dyDescent="0.25">
      <c r="A121" s="469"/>
      <c r="B121" s="470"/>
      <c r="C121" s="471"/>
      <c r="D121" s="472"/>
      <c r="E121" s="474"/>
      <c r="F121" s="165" t="s">
        <v>551</v>
      </c>
      <c r="G121" s="159" t="s">
        <v>410</v>
      </c>
      <c r="H121" s="160">
        <v>974</v>
      </c>
      <c r="I121" s="160">
        <f>1059+66</f>
        <v>1125</v>
      </c>
      <c r="J121" s="160">
        <f>782+47</f>
        <v>829</v>
      </c>
      <c r="K121" s="160">
        <f>481+29</f>
        <v>510</v>
      </c>
      <c r="L121" s="160">
        <f>182+11</f>
        <v>193</v>
      </c>
      <c r="M121" s="160">
        <f>4</f>
        <v>4</v>
      </c>
      <c r="N121" s="160">
        <v>0</v>
      </c>
      <c r="O121" s="166">
        <v>0</v>
      </c>
      <c r="P121" s="160">
        <f>SUM(H121:O121)</f>
        <v>3635</v>
      </c>
    </row>
    <row r="122" spans="1:16" ht="17.25" customHeight="1" x14ac:dyDescent="0.25">
      <c r="A122" s="469"/>
      <c r="B122" s="482"/>
      <c r="C122" s="484"/>
      <c r="D122" s="475"/>
      <c r="E122" s="478"/>
      <c r="F122" s="168"/>
      <c r="G122" s="168" t="s">
        <v>411</v>
      </c>
      <c r="H122" s="162">
        <f t="shared" ref="H122:P122" si="38">SUM(H120:H121)</f>
        <v>8197</v>
      </c>
      <c r="I122" s="162">
        <f t="shared" si="38"/>
        <v>8347</v>
      </c>
      <c r="J122" s="162">
        <f t="shared" si="38"/>
        <v>8051</v>
      </c>
      <c r="K122" s="162">
        <f t="shared" si="38"/>
        <v>7733</v>
      </c>
      <c r="L122" s="162">
        <f t="shared" si="38"/>
        <v>5610</v>
      </c>
      <c r="M122" s="162">
        <f t="shared" si="38"/>
        <v>4</v>
      </c>
      <c r="N122" s="162">
        <f t="shared" si="38"/>
        <v>0</v>
      </c>
      <c r="O122" s="162">
        <f t="shared" si="38"/>
        <v>0</v>
      </c>
      <c r="P122" s="162">
        <f t="shared" si="38"/>
        <v>37942</v>
      </c>
    </row>
    <row r="123" spans="1:16" ht="19.899999999999999" customHeight="1" x14ac:dyDescent="0.25">
      <c r="A123" s="469">
        <f>A120+1</f>
        <v>39</v>
      </c>
      <c r="B123" s="470" t="s">
        <v>405</v>
      </c>
      <c r="C123" s="471" t="s">
        <v>552</v>
      </c>
      <c r="D123" s="472">
        <v>41229</v>
      </c>
      <c r="E123" s="474" t="s">
        <v>553</v>
      </c>
      <c r="F123" s="167" t="s">
        <v>554</v>
      </c>
      <c r="G123" s="157" t="s">
        <v>409</v>
      </c>
      <c r="H123" s="158">
        <v>7456</v>
      </c>
      <c r="I123" s="158">
        <v>7456</v>
      </c>
      <c r="J123" s="158">
        <v>7456</v>
      </c>
      <c r="K123" s="158">
        <v>7455</v>
      </c>
      <c r="L123" s="158">
        <v>7455</v>
      </c>
      <c r="M123" s="158">
        <v>0</v>
      </c>
      <c r="N123" s="158">
        <v>0</v>
      </c>
      <c r="O123" s="164">
        <v>0</v>
      </c>
      <c r="P123" s="158">
        <f>SUM(H123:O123)</f>
        <v>37278</v>
      </c>
    </row>
    <row r="124" spans="1:16" ht="15.75" customHeight="1" x14ac:dyDescent="0.25">
      <c r="A124" s="469"/>
      <c r="B124" s="470"/>
      <c r="C124" s="471"/>
      <c r="D124" s="472"/>
      <c r="E124" s="474"/>
      <c r="F124" s="165" t="s">
        <v>555</v>
      </c>
      <c r="G124" s="159" t="s">
        <v>410</v>
      </c>
      <c r="H124" s="160">
        <v>1019</v>
      </c>
      <c r="I124" s="160">
        <f>1151+73</f>
        <v>1224</v>
      </c>
      <c r="J124" s="160">
        <f>885+54</f>
        <v>939</v>
      </c>
      <c r="K124" s="160">
        <f>574+35</f>
        <v>609</v>
      </c>
      <c r="L124" s="160">
        <f>263+16</f>
        <v>279</v>
      </c>
      <c r="M124" s="160">
        <f>12</f>
        <v>12</v>
      </c>
      <c r="N124" s="160">
        <v>0</v>
      </c>
      <c r="O124" s="166">
        <v>0</v>
      </c>
      <c r="P124" s="160">
        <f>SUM(H124:O124)</f>
        <v>4082</v>
      </c>
    </row>
    <row r="125" spans="1:16" ht="15.75" customHeight="1" x14ac:dyDescent="0.25">
      <c r="A125" s="469"/>
      <c r="B125" s="470"/>
      <c r="C125" s="471"/>
      <c r="D125" s="472"/>
      <c r="E125" s="474"/>
      <c r="F125" s="161"/>
      <c r="G125" s="161" t="s">
        <v>411</v>
      </c>
      <c r="H125" s="162">
        <f t="shared" ref="H125:P125" si="39">SUM(H123:H124)</f>
        <v>8475</v>
      </c>
      <c r="I125" s="162">
        <f t="shared" si="39"/>
        <v>8680</v>
      </c>
      <c r="J125" s="162">
        <f t="shared" si="39"/>
        <v>8395</v>
      </c>
      <c r="K125" s="162">
        <f t="shared" si="39"/>
        <v>8064</v>
      </c>
      <c r="L125" s="162">
        <f t="shared" si="39"/>
        <v>7734</v>
      </c>
      <c r="M125" s="162">
        <f t="shared" si="39"/>
        <v>12</v>
      </c>
      <c r="N125" s="162">
        <f t="shared" si="39"/>
        <v>0</v>
      </c>
      <c r="O125" s="162">
        <f t="shared" si="39"/>
        <v>0</v>
      </c>
      <c r="P125" s="162">
        <f t="shared" si="39"/>
        <v>41360</v>
      </c>
    </row>
    <row r="126" spans="1:16" ht="16.5" customHeight="1" x14ac:dyDescent="0.25">
      <c r="A126" s="469">
        <f>A123+1</f>
        <v>40</v>
      </c>
      <c r="B126" s="470" t="s">
        <v>405</v>
      </c>
      <c r="C126" s="471" t="s">
        <v>548</v>
      </c>
      <c r="D126" s="472">
        <v>41311</v>
      </c>
      <c r="E126" s="474" t="s">
        <v>556</v>
      </c>
      <c r="F126" s="167" t="s">
        <v>557</v>
      </c>
      <c r="G126" s="157" t="s">
        <v>409</v>
      </c>
      <c r="H126" s="158">
        <v>22174</v>
      </c>
      <c r="I126" s="158">
        <v>22174</v>
      </c>
      <c r="J126" s="158">
        <v>22174</v>
      </c>
      <c r="K126" s="158">
        <v>22174</v>
      </c>
      <c r="L126" s="158">
        <v>22174</v>
      </c>
      <c r="M126" s="158">
        <v>5544</v>
      </c>
      <c r="N126" s="158">
        <v>0</v>
      </c>
      <c r="O126" s="158">
        <v>0</v>
      </c>
      <c r="P126" s="158">
        <f>SUM(H126:O126)</f>
        <v>116414</v>
      </c>
    </row>
    <row r="127" spans="1:16" ht="15" customHeight="1" x14ac:dyDescent="0.25">
      <c r="A127" s="469"/>
      <c r="B127" s="470"/>
      <c r="C127" s="471"/>
      <c r="D127" s="472"/>
      <c r="E127" s="474"/>
      <c r="F127" s="165" t="s">
        <v>558</v>
      </c>
      <c r="G127" s="159" t="s">
        <v>410</v>
      </c>
      <c r="H127" s="160">
        <f>2663+112</f>
        <v>2775</v>
      </c>
      <c r="I127" s="160">
        <f>3566+231</f>
        <v>3797</v>
      </c>
      <c r="J127" s="160">
        <f>2862+174</f>
        <v>3036</v>
      </c>
      <c r="K127" s="160">
        <f>1939+118</f>
        <v>2057</v>
      </c>
      <c r="L127" s="160">
        <f>1013+62</f>
        <v>1075</v>
      </c>
      <c r="M127" s="160">
        <f>121+7</f>
        <v>128</v>
      </c>
      <c r="N127" s="160">
        <v>0</v>
      </c>
      <c r="O127" s="160">
        <v>0</v>
      </c>
      <c r="P127" s="160">
        <f>SUM(H127:O127)</f>
        <v>12868</v>
      </c>
    </row>
    <row r="128" spans="1:16" ht="15" customHeight="1" x14ac:dyDescent="0.25">
      <c r="A128" s="469"/>
      <c r="B128" s="470"/>
      <c r="C128" s="471"/>
      <c r="D128" s="472"/>
      <c r="E128" s="474"/>
      <c r="F128" s="161"/>
      <c r="G128" s="161" t="s">
        <v>411</v>
      </c>
      <c r="H128" s="162">
        <f t="shared" ref="H128:P128" si="40">SUM(H126:H127)</f>
        <v>24949</v>
      </c>
      <c r="I128" s="162">
        <f t="shared" si="40"/>
        <v>25971</v>
      </c>
      <c r="J128" s="162">
        <f t="shared" si="40"/>
        <v>25210</v>
      </c>
      <c r="K128" s="162">
        <f t="shared" si="40"/>
        <v>24231</v>
      </c>
      <c r="L128" s="162">
        <f t="shared" si="40"/>
        <v>23249</v>
      </c>
      <c r="M128" s="162">
        <f t="shared" si="40"/>
        <v>5672</v>
      </c>
      <c r="N128" s="162">
        <f t="shared" si="40"/>
        <v>0</v>
      </c>
      <c r="O128" s="162">
        <f t="shared" si="40"/>
        <v>0</v>
      </c>
      <c r="P128" s="162">
        <f t="shared" si="40"/>
        <v>129282</v>
      </c>
    </row>
    <row r="129" spans="1:16" ht="16.899999999999999" customHeight="1" x14ac:dyDescent="0.25">
      <c r="A129" s="469">
        <f>A126+1</f>
        <v>41</v>
      </c>
      <c r="B129" s="470" t="s">
        <v>405</v>
      </c>
      <c r="C129" s="471" t="s">
        <v>559</v>
      </c>
      <c r="D129" s="472">
        <v>41474</v>
      </c>
      <c r="E129" s="474" t="s">
        <v>560</v>
      </c>
      <c r="F129" s="167" t="s">
        <v>561</v>
      </c>
      <c r="G129" s="157" t="s">
        <v>409</v>
      </c>
      <c r="H129" s="158">
        <v>4228</v>
      </c>
      <c r="I129" s="158">
        <v>4228</v>
      </c>
      <c r="J129" s="158">
        <v>4228</v>
      </c>
      <c r="K129" s="158">
        <v>4228</v>
      </c>
      <c r="L129" s="158">
        <v>4228</v>
      </c>
      <c r="M129" s="158">
        <v>4228</v>
      </c>
      <c r="N129" s="158">
        <v>4228</v>
      </c>
      <c r="O129" s="158">
        <f>58135</f>
        <v>58135</v>
      </c>
      <c r="P129" s="158">
        <f>SUM(H129:O129)</f>
        <v>87731</v>
      </c>
    </row>
    <row r="130" spans="1:16" ht="15.75" customHeight="1" x14ac:dyDescent="0.25">
      <c r="A130" s="469"/>
      <c r="B130" s="470"/>
      <c r="C130" s="471"/>
      <c r="D130" s="472"/>
      <c r="E130" s="474"/>
      <c r="F130" s="165" t="s">
        <v>562</v>
      </c>
      <c r="G130" s="159" t="s">
        <v>410</v>
      </c>
      <c r="H130" s="160">
        <f>1680+162</f>
        <v>1842</v>
      </c>
      <c r="I130" s="160">
        <f>3516+211</f>
        <v>3727</v>
      </c>
      <c r="J130" s="160">
        <f>3279+199</f>
        <v>3478</v>
      </c>
      <c r="K130" s="160">
        <f>3103+188</f>
        <v>3291</v>
      </c>
      <c r="L130" s="160">
        <f>2926+178</f>
        <v>3104</v>
      </c>
      <c r="M130" s="160">
        <f>2757+168</f>
        <v>2925</v>
      </c>
      <c r="N130" s="160">
        <f>2573+156</f>
        <v>2729</v>
      </c>
      <c r="O130" s="173">
        <v>18584</v>
      </c>
      <c r="P130" s="160">
        <f>SUM(H130:O130)</f>
        <v>39680</v>
      </c>
    </row>
    <row r="131" spans="1:16" ht="15.75" customHeight="1" x14ac:dyDescent="0.25">
      <c r="A131" s="469"/>
      <c r="B131" s="470"/>
      <c r="C131" s="471"/>
      <c r="D131" s="472"/>
      <c r="E131" s="474"/>
      <c r="F131" s="161"/>
      <c r="G131" s="161" t="s">
        <v>411</v>
      </c>
      <c r="H131" s="162">
        <f t="shared" ref="H131:P131" si="41">SUM(H129:H130)</f>
        <v>6070</v>
      </c>
      <c r="I131" s="162">
        <f t="shared" si="41"/>
        <v>7955</v>
      </c>
      <c r="J131" s="162">
        <f t="shared" si="41"/>
        <v>7706</v>
      </c>
      <c r="K131" s="162">
        <f t="shared" si="41"/>
        <v>7519</v>
      </c>
      <c r="L131" s="162">
        <f t="shared" si="41"/>
        <v>7332</v>
      </c>
      <c r="M131" s="162">
        <f t="shared" si="41"/>
        <v>7153</v>
      </c>
      <c r="N131" s="162">
        <f t="shared" si="41"/>
        <v>6957</v>
      </c>
      <c r="O131" s="162">
        <f t="shared" si="41"/>
        <v>76719</v>
      </c>
      <c r="P131" s="162">
        <f t="shared" si="41"/>
        <v>127411</v>
      </c>
    </row>
    <row r="132" spans="1:16" ht="17.25" customHeight="1" x14ac:dyDescent="0.25">
      <c r="A132" s="469">
        <f>A129+1</f>
        <v>42</v>
      </c>
      <c r="B132" s="487" t="s">
        <v>563</v>
      </c>
      <c r="C132" s="471" t="s">
        <v>564</v>
      </c>
      <c r="D132" s="472">
        <v>41568</v>
      </c>
      <c r="E132" s="474" t="s">
        <v>565</v>
      </c>
      <c r="F132" s="163" t="s">
        <v>566</v>
      </c>
      <c r="G132" s="157" t="s">
        <v>409</v>
      </c>
      <c r="H132" s="158">
        <f>1577*3+1597</f>
        <v>6328</v>
      </c>
      <c r="I132" s="164">
        <v>0</v>
      </c>
      <c r="J132" s="164">
        <v>0</v>
      </c>
      <c r="K132" s="164">
        <v>0</v>
      </c>
      <c r="L132" s="164">
        <v>0</v>
      </c>
      <c r="M132" s="164">
        <v>0</v>
      </c>
      <c r="N132" s="164">
        <v>0</v>
      </c>
      <c r="O132" s="164">
        <v>0</v>
      </c>
      <c r="P132" s="158">
        <f>SUM(H132:O132)</f>
        <v>6328</v>
      </c>
    </row>
    <row r="133" spans="1:16" ht="17.45" customHeight="1" x14ac:dyDescent="0.25">
      <c r="A133" s="469"/>
      <c r="B133" s="487"/>
      <c r="C133" s="471"/>
      <c r="D133" s="472"/>
      <c r="E133" s="474"/>
      <c r="F133" s="165" t="s">
        <v>567</v>
      </c>
      <c r="G133" s="159" t="s">
        <v>410</v>
      </c>
      <c r="H133" s="160">
        <v>53</v>
      </c>
      <c r="I133" s="166">
        <v>0</v>
      </c>
      <c r="J133" s="166">
        <v>0</v>
      </c>
      <c r="K133" s="166">
        <v>0</v>
      </c>
      <c r="L133" s="166">
        <v>0</v>
      </c>
      <c r="M133" s="166">
        <v>0</v>
      </c>
      <c r="N133" s="166">
        <v>0</v>
      </c>
      <c r="O133" s="166">
        <v>0</v>
      </c>
      <c r="P133" s="160">
        <f>SUM(H133:O133)</f>
        <v>53</v>
      </c>
    </row>
    <row r="134" spans="1:16" ht="16.5" customHeight="1" x14ac:dyDescent="0.25">
      <c r="A134" s="469"/>
      <c r="B134" s="487"/>
      <c r="C134" s="471"/>
      <c r="D134" s="472"/>
      <c r="E134" s="474"/>
      <c r="F134" s="161"/>
      <c r="G134" s="161" t="s">
        <v>411</v>
      </c>
      <c r="H134" s="162">
        <f t="shared" ref="H134:P134" si="42">SUM(H132:H133)</f>
        <v>6381</v>
      </c>
      <c r="I134" s="162">
        <f t="shared" si="42"/>
        <v>0</v>
      </c>
      <c r="J134" s="162">
        <f t="shared" si="42"/>
        <v>0</v>
      </c>
      <c r="K134" s="162">
        <f t="shared" si="42"/>
        <v>0</v>
      </c>
      <c r="L134" s="162">
        <f t="shared" si="42"/>
        <v>0</v>
      </c>
      <c r="M134" s="162">
        <f t="shared" si="42"/>
        <v>0</v>
      </c>
      <c r="N134" s="162">
        <f t="shared" si="42"/>
        <v>0</v>
      </c>
      <c r="O134" s="162">
        <f t="shared" si="42"/>
        <v>0</v>
      </c>
      <c r="P134" s="162">
        <f t="shared" si="42"/>
        <v>6381</v>
      </c>
    </row>
    <row r="135" spans="1:16" ht="18" customHeight="1" x14ac:dyDescent="0.25">
      <c r="A135" s="469">
        <f>A132+1</f>
        <v>43</v>
      </c>
      <c r="B135" s="470" t="s">
        <v>405</v>
      </c>
      <c r="C135" s="471" t="s">
        <v>568</v>
      </c>
      <c r="D135" s="472">
        <v>41627</v>
      </c>
      <c r="E135" s="474" t="s">
        <v>569</v>
      </c>
      <c r="F135" s="175" t="s">
        <v>570</v>
      </c>
      <c r="G135" s="157" t="s">
        <v>409</v>
      </c>
      <c r="H135" s="158">
        <v>6496</v>
      </c>
      <c r="I135" s="164">
        <v>0</v>
      </c>
      <c r="J135" s="164">
        <v>0</v>
      </c>
      <c r="K135" s="164">
        <v>0</v>
      </c>
      <c r="L135" s="164">
        <v>0</v>
      </c>
      <c r="M135" s="164">
        <v>0</v>
      </c>
      <c r="N135" s="164">
        <v>0</v>
      </c>
      <c r="O135" s="164">
        <v>0</v>
      </c>
      <c r="P135" s="158">
        <f>SUM(H135:O135)</f>
        <v>6496</v>
      </c>
    </row>
    <row r="136" spans="1:16" ht="15.75" customHeight="1" x14ac:dyDescent="0.25">
      <c r="A136" s="469"/>
      <c r="B136" s="470"/>
      <c r="C136" s="471"/>
      <c r="D136" s="472"/>
      <c r="E136" s="474"/>
      <c r="F136" s="165" t="s">
        <v>571</v>
      </c>
      <c r="G136" s="159" t="s">
        <v>410</v>
      </c>
      <c r="H136" s="160">
        <v>123</v>
      </c>
      <c r="I136" s="166">
        <v>11</v>
      </c>
      <c r="J136" s="166">
        <v>0</v>
      </c>
      <c r="K136" s="166">
        <v>0</v>
      </c>
      <c r="L136" s="166">
        <v>0</v>
      </c>
      <c r="M136" s="166">
        <v>0</v>
      </c>
      <c r="N136" s="166">
        <v>0</v>
      </c>
      <c r="O136" s="166">
        <v>0</v>
      </c>
      <c r="P136" s="160">
        <f>SUM(H136:O136)</f>
        <v>134</v>
      </c>
    </row>
    <row r="137" spans="1:16" ht="15.75" customHeight="1" x14ac:dyDescent="0.25">
      <c r="A137" s="469"/>
      <c r="B137" s="470"/>
      <c r="C137" s="471"/>
      <c r="D137" s="472"/>
      <c r="E137" s="474"/>
      <c r="F137" s="161"/>
      <c r="G137" s="161" t="s">
        <v>411</v>
      </c>
      <c r="H137" s="162">
        <f t="shared" ref="H137:P137" si="43">SUM(H135:H136)</f>
        <v>6619</v>
      </c>
      <c r="I137" s="162">
        <f t="shared" si="43"/>
        <v>11</v>
      </c>
      <c r="J137" s="162">
        <f t="shared" si="43"/>
        <v>0</v>
      </c>
      <c r="K137" s="162">
        <f t="shared" si="43"/>
        <v>0</v>
      </c>
      <c r="L137" s="162">
        <f t="shared" si="43"/>
        <v>0</v>
      </c>
      <c r="M137" s="162">
        <f t="shared" si="43"/>
        <v>0</v>
      </c>
      <c r="N137" s="162">
        <f t="shared" si="43"/>
        <v>0</v>
      </c>
      <c r="O137" s="162">
        <f t="shared" si="43"/>
        <v>0</v>
      </c>
      <c r="P137" s="162">
        <f t="shared" si="43"/>
        <v>6630</v>
      </c>
    </row>
    <row r="138" spans="1:16" ht="18.600000000000001" customHeight="1" x14ac:dyDescent="0.25">
      <c r="A138" s="469">
        <f>A135+1</f>
        <v>44</v>
      </c>
      <c r="B138" s="470" t="s">
        <v>405</v>
      </c>
      <c r="C138" s="471" t="s">
        <v>572</v>
      </c>
      <c r="D138" s="485">
        <v>41897</v>
      </c>
      <c r="E138" s="474" t="s">
        <v>569</v>
      </c>
      <c r="F138" s="167" t="s">
        <v>573</v>
      </c>
      <c r="G138" s="157" t="s">
        <v>409</v>
      </c>
      <c r="H138" s="158">
        <v>1960</v>
      </c>
      <c r="I138" s="158">
        <v>1960</v>
      </c>
      <c r="J138" s="158">
        <v>1960</v>
      </c>
      <c r="K138" s="158">
        <v>1960</v>
      </c>
      <c r="L138" s="158">
        <v>1960</v>
      </c>
      <c r="M138" s="158">
        <v>1960</v>
      </c>
      <c r="N138" s="158">
        <v>1960</v>
      </c>
      <c r="O138" s="158">
        <v>1960</v>
      </c>
      <c r="P138" s="158">
        <f>SUM(H138:O138)</f>
        <v>15680</v>
      </c>
    </row>
    <row r="139" spans="1:16" ht="17.25" customHeight="1" x14ac:dyDescent="0.25">
      <c r="A139" s="469"/>
      <c r="B139" s="470"/>
      <c r="C139" s="471"/>
      <c r="D139" s="485"/>
      <c r="E139" s="474"/>
      <c r="F139" s="165" t="s">
        <v>574</v>
      </c>
      <c r="G139" s="159" t="s">
        <v>410</v>
      </c>
      <c r="H139" s="160">
        <f>347+7</f>
        <v>354</v>
      </c>
      <c r="I139" s="160">
        <f>561+34</f>
        <v>595</v>
      </c>
      <c r="J139" s="160">
        <f>478+29</f>
        <v>507</v>
      </c>
      <c r="K139" s="160">
        <f>396+24</f>
        <v>420</v>
      </c>
      <c r="L139" s="160">
        <f>314+19</f>
        <v>333</v>
      </c>
      <c r="M139" s="160">
        <f>233+14</f>
        <v>247</v>
      </c>
      <c r="N139" s="173">
        <f>151+9</f>
        <v>160</v>
      </c>
      <c r="O139" s="173">
        <v>78</v>
      </c>
      <c r="P139" s="160">
        <f>SUM(H139:O139)</f>
        <v>2694</v>
      </c>
    </row>
    <row r="140" spans="1:16" ht="15" customHeight="1" x14ac:dyDescent="0.25">
      <c r="A140" s="469"/>
      <c r="B140" s="482"/>
      <c r="C140" s="484"/>
      <c r="D140" s="486"/>
      <c r="E140" s="478"/>
      <c r="F140" s="168"/>
      <c r="G140" s="168" t="s">
        <v>411</v>
      </c>
      <c r="H140" s="162">
        <f t="shared" ref="H140:P140" si="44">SUM(H138:H139)</f>
        <v>2314</v>
      </c>
      <c r="I140" s="162">
        <f t="shared" si="44"/>
        <v>2555</v>
      </c>
      <c r="J140" s="162">
        <f t="shared" si="44"/>
        <v>2467</v>
      </c>
      <c r="K140" s="162">
        <f t="shared" si="44"/>
        <v>2380</v>
      </c>
      <c r="L140" s="162">
        <f t="shared" si="44"/>
        <v>2293</v>
      </c>
      <c r="M140" s="162">
        <f t="shared" si="44"/>
        <v>2207</v>
      </c>
      <c r="N140" s="162">
        <f t="shared" si="44"/>
        <v>2120</v>
      </c>
      <c r="O140" s="162">
        <f t="shared" si="44"/>
        <v>2038</v>
      </c>
      <c r="P140" s="162">
        <f t="shared" si="44"/>
        <v>18374</v>
      </c>
    </row>
    <row r="141" spans="1:16" ht="17.25" customHeight="1" x14ac:dyDescent="0.25">
      <c r="A141" s="469">
        <f>A138+1</f>
        <v>45</v>
      </c>
      <c r="B141" s="470" t="s">
        <v>405</v>
      </c>
      <c r="C141" s="471" t="s">
        <v>575</v>
      </c>
      <c r="D141" s="472">
        <v>41696</v>
      </c>
      <c r="E141" s="474" t="s">
        <v>576</v>
      </c>
      <c r="F141" s="167" t="s">
        <v>577</v>
      </c>
      <c r="G141" s="157" t="s">
        <v>409</v>
      </c>
      <c r="H141" s="158">
        <v>120928</v>
      </c>
      <c r="I141" s="158">
        <v>120928</v>
      </c>
      <c r="J141" s="158">
        <v>120928</v>
      </c>
      <c r="K141" s="158">
        <v>120928</v>
      </c>
      <c r="L141" s="158">
        <v>120928</v>
      </c>
      <c r="M141" s="158">
        <v>120928</v>
      </c>
      <c r="N141" s="158">
        <v>28446</v>
      </c>
      <c r="O141" s="158">
        <v>0</v>
      </c>
      <c r="P141" s="158">
        <f>SUM(H141:O141)</f>
        <v>754014</v>
      </c>
    </row>
    <row r="142" spans="1:16" ht="15.75" customHeight="1" x14ac:dyDescent="0.25">
      <c r="A142" s="469"/>
      <c r="B142" s="470"/>
      <c r="C142" s="471"/>
      <c r="D142" s="472"/>
      <c r="E142" s="474"/>
      <c r="F142" s="165" t="s">
        <v>578</v>
      </c>
      <c r="G142" s="159" t="s">
        <v>410</v>
      </c>
      <c r="H142" s="160">
        <f>15967+1431</f>
        <v>17398</v>
      </c>
      <c r="I142" s="160">
        <f>24382+1561</f>
        <v>25943</v>
      </c>
      <c r="J142" s="160">
        <f>20578+1251</f>
        <v>21829</v>
      </c>
      <c r="K142" s="160">
        <f>15544+945</f>
        <v>16489</v>
      </c>
      <c r="L142" s="160">
        <f>10497+638</f>
        <v>11135</v>
      </c>
      <c r="M142" s="160">
        <f>5456+332</f>
        <v>5788</v>
      </c>
      <c r="N142" s="173">
        <v>783</v>
      </c>
      <c r="O142" s="160">
        <v>0</v>
      </c>
      <c r="P142" s="160">
        <f>SUM(H142:O142)</f>
        <v>99365</v>
      </c>
    </row>
    <row r="143" spans="1:16" ht="15" customHeight="1" x14ac:dyDescent="0.25">
      <c r="A143" s="469"/>
      <c r="B143" s="470"/>
      <c r="C143" s="471"/>
      <c r="D143" s="472"/>
      <c r="E143" s="474"/>
      <c r="F143" s="161"/>
      <c r="G143" s="161" t="s">
        <v>411</v>
      </c>
      <c r="H143" s="162">
        <f t="shared" ref="H143:P143" si="45">SUM(H141:H142)</f>
        <v>138326</v>
      </c>
      <c r="I143" s="162">
        <f t="shared" si="45"/>
        <v>146871</v>
      </c>
      <c r="J143" s="162">
        <f t="shared" si="45"/>
        <v>142757</v>
      </c>
      <c r="K143" s="162">
        <f t="shared" si="45"/>
        <v>137417</v>
      </c>
      <c r="L143" s="162">
        <f t="shared" si="45"/>
        <v>132063</v>
      </c>
      <c r="M143" s="162">
        <f t="shared" si="45"/>
        <v>126716</v>
      </c>
      <c r="N143" s="162">
        <f t="shared" si="45"/>
        <v>29229</v>
      </c>
      <c r="O143" s="162">
        <f t="shared" si="45"/>
        <v>0</v>
      </c>
      <c r="P143" s="162">
        <f t="shared" si="45"/>
        <v>853379</v>
      </c>
    </row>
    <row r="144" spans="1:16" ht="18" customHeight="1" x14ac:dyDescent="0.25">
      <c r="A144" s="469">
        <f>A141+1</f>
        <v>46</v>
      </c>
      <c r="B144" s="470" t="s">
        <v>405</v>
      </c>
      <c r="C144" s="481" t="s">
        <v>579</v>
      </c>
      <c r="D144" s="472">
        <v>41752</v>
      </c>
      <c r="E144" s="474" t="s">
        <v>580</v>
      </c>
      <c r="F144" s="167" t="s">
        <v>581</v>
      </c>
      <c r="G144" s="157" t="s">
        <v>409</v>
      </c>
      <c r="H144" s="158">
        <v>10812</v>
      </c>
      <c r="I144" s="158">
        <v>10812</v>
      </c>
      <c r="J144" s="158">
        <v>10812</v>
      </c>
      <c r="K144" s="158">
        <v>10812</v>
      </c>
      <c r="L144" s="158">
        <v>10812</v>
      </c>
      <c r="M144" s="158">
        <v>10812</v>
      </c>
      <c r="N144" s="158">
        <v>10812</v>
      </c>
      <c r="O144" s="158">
        <f>48654</f>
        <v>48654</v>
      </c>
      <c r="P144" s="158">
        <f>SUM(H144:O144)</f>
        <v>124338</v>
      </c>
    </row>
    <row r="145" spans="1:16" ht="15.75" customHeight="1" x14ac:dyDescent="0.25">
      <c r="A145" s="469"/>
      <c r="B145" s="470"/>
      <c r="C145" s="481"/>
      <c r="D145" s="472"/>
      <c r="E145" s="474"/>
      <c r="F145" s="172" t="s">
        <v>582</v>
      </c>
      <c r="G145" s="159" t="s">
        <v>410</v>
      </c>
      <c r="H145" s="160">
        <f>2108+159</f>
        <v>2267</v>
      </c>
      <c r="I145" s="160">
        <f>4337+284</f>
        <v>4621</v>
      </c>
      <c r="J145" s="160">
        <f>4214+256</f>
        <v>4470</v>
      </c>
      <c r="K145" s="160">
        <f>3764+228</f>
        <v>3992</v>
      </c>
      <c r="L145" s="160">
        <f>3313+201</f>
        <v>3514</v>
      </c>
      <c r="M145" s="160">
        <f>2868+174</f>
        <v>3042</v>
      </c>
      <c r="N145" s="173">
        <f>2410+146</f>
        <v>2556</v>
      </c>
      <c r="O145" s="173">
        <v>5594</v>
      </c>
      <c r="P145" s="160">
        <f>SUM(H145:O145)</f>
        <v>30056</v>
      </c>
    </row>
    <row r="146" spans="1:16" ht="15.75" customHeight="1" x14ac:dyDescent="0.25">
      <c r="A146" s="469"/>
      <c r="B146" s="470"/>
      <c r="C146" s="481"/>
      <c r="D146" s="472"/>
      <c r="E146" s="474"/>
      <c r="F146" s="161"/>
      <c r="G146" s="161" t="s">
        <v>411</v>
      </c>
      <c r="H146" s="162">
        <f t="shared" ref="H146:P146" si="46">SUM(H144:H145)</f>
        <v>13079</v>
      </c>
      <c r="I146" s="162">
        <f t="shared" si="46"/>
        <v>15433</v>
      </c>
      <c r="J146" s="162">
        <f t="shared" si="46"/>
        <v>15282</v>
      </c>
      <c r="K146" s="162">
        <f t="shared" si="46"/>
        <v>14804</v>
      </c>
      <c r="L146" s="162">
        <f t="shared" si="46"/>
        <v>14326</v>
      </c>
      <c r="M146" s="162">
        <f t="shared" si="46"/>
        <v>13854</v>
      </c>
      <c r="N146" s="162">
        <f t="shared" si="46"/>
        <v>13368</v>
      </c>
      <c r="O146" s="162">
        <f t="shared" si="46"/>
        <v>54248</v>
      </c>
      <c r="P146" s="162">
        <f t="shared" si="46"/>
        <v>154394</v>
      </c>
    </row>
    <row r="147" spans="1:16" ht="18.600000000000001" customHeight="1" x14ac:dyDescent="0.25">
      <c r="A147" s="469">
        <f>A144+1</f>
        <v>47</v>
      </c>
      <c r="B147" s="470" t="s">
        <v>405</v>
      </c>
      <c r="C147" s="471" t="s">
        <v>583</v>
      </c>
      <c r="D147" s="472">
        <v>41851</v>
      </c>
      <c r="E147" s="474" t="s">
        <v>584</v>
      </c>
      <c r="F147" s="167" t="s">
        <v>585</v>
      </c>
      <c r="G147" s="157" t="s">
        <v>409</v>
      </c>
      <c r="H147" s="158">
        <v>12204</v>
      </c>
      <c r="I147" s="158">
        <v>12204</v>
      </c>
      <c r="J147" s="158">
        <v>12204</v>
      </c>
      <c r="K147" s="158">
        <v>12204</v>
      </c>
      <c r="L147" s="158">
        <v>12204</v>
      </c>
      <c r="M147" s="158">
        <v>12204</v>
      </c>
      <c r="N147" s="158">
        <v>12204</v>
      </c>
      <c r="O147" s="158">
        <f>180009</f>
        <v>180009</v>
      </c>
      <c r="P147" s="158">
        <f>SUM(H147:O147)</f>
        <v>265437</v>
      </c>
    </row>
    <row r="148" spans="1:16" ht="15.75" customHeight="1" x14ac:dyDescent="0.25">
      <c r="A148" s="469"/>
      <c r="B148" s="470"/>
      <c r="C148" s="471"/>
      <c r="D148" s="472"/>
      <c r="E148" s="474"/>
      <c r="F148" s="165" t="s">
        <v>586</v>
      </c>
      <c r="G148" s="159" t="s">
        <v>410</v>
      </c>
      <c r="H148" s="160">
        <f>5130+444</f>
        <v>5574</v>
      </c>
      <c r="I148" s="160">
        <f>10607+639</f>
        <v>11246</v>
      </c>
      <c r="J148" s="160">
        <f>9975+606</f>
        <v>10581</v>
      </c>
      <c r="K148" s="160">
        <f>9466+575</f>
        <v>10041</v>
      </c>
      <c r="L148" s="160">
        <f>8957+544</f>
        <v>9501</v>
      </c>
      <c r="M148" s="160">
        <f>8470+515</f>
        <v>8985</v>
      </c>
      <c r="N148" s="173">
        <f>7938+482</f>
        <v>8420</v>
      </c>
      <c r="O148" s="173">
        <v>61530</v>
      </c>
      <c r="P148" s="160">
        <f>SUM(H148:O148)</f>
        <v>125878</v>
      </c>
    </row>
    <row r="149" spans="1:16" ht="15.75" customHeight="1" x14ac:dyDescent="0.25">
      <c r="A149" s="469"/>
      <c r="B149" s="470"/>
      <c r="C149" s="471"/>
      <c r="D149" s="472"/>
      <c r="E149" s="474"/>
      <c r="F149" s="161"/>
      <c r="G149" s="161" t="s">
        <v>411</v>
      </c>
      <c r="H149" s="162">
        <f t="shared" ref="H149:P149" si="47">SUM(H147:H148)</f>
        <v>17778</v>
      </c>
      <c r="I149" s="162">
        <f t="shared" si="47"/>
        <v>23450</v>
      </c>
      <c r="J149" s="162">
        <f t="shared" si="47"/>
        <v>22785</v>
      </c>
      <c r="K149" s="162">
        <f t="shared" si="47"/>
        <v>22245</v>
      </c>
      <c r="L149" s="162">
        <f t="shared" si="47"/>
        <v>21705</v>
      </c>
      <c r="M149" s="162">
        <f t="shared" si="47"/>
        <v>21189</v>
      </c>
      <c r="N149" s="162">
        <f t="shared" si="47"/>
        <v>20624</v>
      </c>
      <c r="O149" s="162">
        <f t="shared" si="47"/>
        <v>241539</v>
      </c>
      <c r="P149" s="162">
        <f t="shared" si="47"/>
        <v>391315</v>
      </c>
    </row>
    <row r="150" spans="1:16" ht="16.5" customHeight="1" x14ac:dyDescent="0.25">
      <c r="A150" s="469">
        <f>A147+1</f>
        <v>48</v>
      </c>
      <c r="B150" s="470" t="s">
        <v>405</v>
      </c>
      <c r="C150" s="471" t="s">
        <v>587</v>
      </c>
      <c r="D150" s="472">
        <v>41851</v>
      </c>
      <c r="E150" s="474" t="s">
        <v>584</v>
      </c>
      <c r="F150" s="167" t="s">
        <v>588</v>
      </c>
      <c r="G150" s="157" t="s">
        <v>409</v>
      </c>
      <c r="H150" s="158">
        <v>5732</v>
      </c>
      <c r="I150" s="158">
        <v>5732</v>
      </c>
      <c r="J150" s="158">
        <v>5732</v>
      </c>
      <c r="K150" s="158">
        <v>5732</v>
      </c>
      <c r="L150" s="158">
        <v>5732</v>
      </c>
      <c r="M150" s="158">
        <v>5732</v>
      </c>
      <c r="N150" s="158">
        <v>5732</v>
      </c>
      <c r="O150" s="158">
        <f>84547</f>
        <v>84547</v>
      </c>
      <c r="P150" s="158">
        <f>SUM(H150:O150)</f>
        <v>124671</v>
      </c>
    </row>
    <row r="151" spans="1:16" ht="15" customHeight="1" x14ac:dyDescent="0.25">
      <c r="A151" s="469"/>
      <c r="B151" s="470"/>
      <c r="C151" s="471"/>
      <c r="D151" s="472"/>
      <c r="E151" s="474"/>
      <c r="F151" s="165" t="s">
        <v>589</v>
      </c>
      <c r="G151" s="159" t="s">
        <v>410</v>
      </c>
      <c r="H151" s="160">
        <f>2409+208</f>
        <v>2617</v>
      </c>
      <c r="I151" s="160">
        <f>4982+300</f>
        <v>5282</v>
      </c>
      <c r="J151" s="160">
        <f>4685+284</f>
        <v>4969</v>
      </c>
      <c r="K151" s="160">
        <f>4446+270</f>
        <v>4716</v>
      </c>
      <c r="L151" s="160">
        <f>4207+255</f>
        <v>4462</v>
      </c>
      <c r="M151" s="160">
        <f>3978+242</f>
        <v>4220</v>
      </c>
      <c r="N151" s="173">
        <f>3728+226</f>
        <v>3954</v>
      </c>
      <c r="O151" s="173">
        <v>28900</v>
      </c>
      <c r="P151" s="160">
        <f>SUM(H151:O151)</f>
        <v>59120</v>
      </c>
    </row>
    <row r="152" spans="1:16" ht="15" customHeight="1" x14ac:dyDescent="0.25">
      <c r="A152" s="469"/>
      <c r="B152" s="470"/>
      <c r="C152" s="471"/>
      <c r="D152" s="472"/>
      <c r="E152" s="474"/>
      <c r="F152" s="161"/>
      <c r="G152" s="161" t="s">
        <v>411</v>
      </c>
      <c r="H152" s="162">
        <f t="shared" ref="H152:P152" si="48">SUM(H150:H151)</f>
        <v>8349</v>
      </c>
      <c r="I152" s="162">
        <f t="shared" si="48"/>
        <v>11014</v>
      </c>
      <c r="J152" s="162">
        <f t="shared" si="48"/>
        <v>10701</v>
      </c>
      <c r="K152" s="162">
        <f t="shared" si="48"/>
        <v>10448</v>
      </c>
      <c r="L152" s="162">
        <f t="shared" si="48"/>
        <v>10194</v>
      </c>
      <c r="M152" s="162">
        <f t="shared" si="48"/>
        <v>9952</v>
      </c>
      <c r="N152" s="162">
        <f t="shared" si="48"/>
        <v>9686</v>
      </c>
      <c r="O152" s="162">
        <f t="shared" si="48"/>
        <v>113447</v>
      </c>
      <c r="P152" s="162">
        <f t="shared" si="48"/>
        <v>183791</v>
      </c>
    </row>
    <row r="153" spans="1:16" ht="14.25" customHeight="1" x14ac:dyDescent="0.25">
      <c r="A153" s="469">
        <f>A150+1</f>
        <v>49</v>
      </c>
      <c r="B153" s="470" t="s">
        <v>405</v>
      </c>
      <c r="C153" s="471" t="s">
        <v>590</v>
      </c>
      <c r="D153" s="472">
        <v>41942</v>
      </c>
      <c r="E153" s="474" t="s">
        <v>591</v>
      </c>
      <c r="F153" s="167" t="s">
        <v>592</v>
      </c>
      <c r="G153" s="157" t="s">
        <v>409</v>
      </c>
      <c r="H153" s="158">
        <v>9404</v>
      </c>
      <c r="I153" s="158">
        <v>9404</v>
      </c>
      <c r="J153" s="164">
        <v>0</v>
      </c>
      <c r="K153" s="164">
        <v>0</v>
      </c>
      <c r="L153" s="164">
        <v>0</v>
      </c>
      <c r="M153" s="164">
        <v>0</v>
      </c>
      <c r="N153" s="164">
        <v>0</v>
      </c>
      <c r="O153" s="164">
        <v>0</v>
      </c>
      <c r="P153" s="158">
        <f>SUM(H153:O153)</f>
        <v>18808</v>
      </c>
    </row>
    <row r="154" spans="1:16" ht="15" customHeight="1" x14ac:dyDescent="0.25">
      <c r="A154" s="469"/>
      <c r="B154" s="470"/>
      <c r="C154" s="471"/>
      <c r="D154" s="472"/>
      <c r="E154" s="474"/>
      <c r="F154" s="165" t="s">
        <v>593</v>
      </c>
      <c r="G154" s="159" t="s">
        <v>410</v>
      </c>
      <c r="H154" s="160">
        <v>497</v>
      </c>
      <c r="I154" s="160">
        <f>320+20</f>
        <v>340</v>
      </c>
      <c r="J154" s="166">
        <f>22+1</f>
        <v>23</v>
      </c>
      <c r="K154" s="166">
        <v>0</v>
      </c>
      <c r="L154" s="166">
        <v>0</v>
      </c>
      <c r="M154" s="166">
        <v>0</v>
      </c>
      <c r="N154" s="166">
        <v>0</v>
      </c>
      <c r="O154" s="166">
        <v>0</v>
      </c>
      <c r="P154" s="160">
        <f>SUM(H154:O154)</f>
        <v>860</v>
      </c>
    </row>
    <row r="155" spans="1:16" ht="15" customHeight="1" x14ac:dyDescent="0.25">
      <c r="A155" s="469"/>
      <c r="B155" s="470"/>
      <c r="C155" s="471"/>
      <c r="D155" s="472"/>
      <c r="E155" s="474"/>
      <c r="F155" s="161"/>
      <c r="G155" s="161" t="s">
        <v>411</v>
      </c>
      <c r="H155" s="162">
        <f t="shared" ref="H155:P155" si="49">SUM(H153:H154)</f>
        <v>9901</v>
      </c>
      <c r="I155" s="162">
        <f t="shared" si="49"/>
        <v>9744</v>
      </c>
      <c r="J155" s="162">
        <f t="shared" si="49"/>
        <v>23</v>
      </c>
      <c r="K155" s="162">
        <f t="shared" si="49"/>
        <v>0</v>
      </c>
      <c r="L155" s="162">
        <f t="shared" si="49"/>
        <v>0</v>
      </c>
      <c r="M155" s="162">
        <f t="shared" si="49"/>
        <v>0</v>
      </c>
      <c r="N155" s="162">
        <f t="shared" si="49"/>
        <v>0</v>
      </c>
      <c r="O155" s="162">
        <f t="shared" si="49"/>
        <v>0</v>
      </c>
      <c r="P155" s="162">
        <f t="shared" si="49"/>
        <v>19668</v>
      </c>
    </row>
    <row r="156" spans="1:16" ht="14.25" customHeight="1" x14ac:dyDescent="0.25">
      <c r="A156" s="469">
        <f>A153+1</f>
        <v>50</v>
      </c>
      <c r="B156" s="470" t="s">
        <v>405</v>
      </c>
      <c r="C156" s="471" t="s">
        <v>594</v>
      </c>
      <c r="D156" s="472">
        <v>41942</v>
      </c>
      <c r="E156" s="474" t="s">
        <v>508</v>
      </c>
      <c r="F156" s="167" t="s">
        <v>595</v>
      </c>
      <c r="G156" s="157" t="s">
        <v>409</v>
      </c>
      <c r="H156" s="158">
        <v>4718</v>
      </c>
      <c r="I156" s="164">
        <v>0</v>
      </c>
      <c r="J156" s="164">
        <v>0</v>
      </c>
      <c r="K156" s="164">
        <v>0</v>
      </c>
      <c r="L156" s="164">
        <v>0</v>
      </c>
      <c r="M156" s="164">
        <v>0</v>
      </c>
      <c r="N156" s="164">
        <v>0</v>
      </c>
      <c r="O156" s="164">
        <v>0</v>
      </c>
      <c r="P156" s="158">
        <f>SUM(H156:O156)</f>
        <v>4718</v>
      </c>
    </row>
    <row r="157" spans="1:16" ht="14.25" customHeight="1" x14ac:dyDescent="0.25">
      <c r="A157" s="469"/>
      <c r="B157" s="470"/>
      <c r="C157" s="471"/>
      <c r="D157" s="472"/>
      <c r="E157" s="474"/>
      <c r="F157" s="165" t="s">
        <v>596</v>
      </c>
      <c r="G157" s="159" t="s">
        <v>410</v>
      </c>
      <c r="H157" s="160">
        <v>88</v>
      </c>
      <c r="I157" s="166">
        <v>0</v>
      </c>
      <c r="J157" s="166">
        <v>0</v>
      </c>
      <c r="K157" s="166">
        <v>0</v>
      </c>
      <c r="L157" s="166">
        <v>0</v>
      </c>
      <c r="M157" s="166">
        <v>0</v>
      </c>
      <c r="N157" s="166">
        <v>0</v>
      </c>
      <c r="O157" s="166">
        <v>0</v>
      </c>
      <c r="P157" s="160">
        <f>SUM(H157:O157)</f>
        <v>88</v>
      </c>
    </row>
    <row r="158" spans="1:16" ht="14.25" customHeight="1" x14ac:dyDescent="0.25">
      <c r="A158" s="469"/>
      <c r="B158" s="470"/>
      <c r="C158" s="471"/>
      <c r="D158" s="472"/>
      <c r="E158" s="474"/>
      <c r="F158" s="161"/>
      <c r="G158" s="161" t="s">
        <v>411</v>
      </c>
      <c r="H158" s="162">
        <f t="shared" ref="H158:P158" si="50">SUM(H156:H157)</f>
        <v>4806</v>
      </c>
      <c r="I158" s="162">
        <f t="shared" si="50"/>
        <v>0</v>
      </c>
      <c r="J158" s="162">
        <f t="shared" si="50"/>
        <v>0</v>
      </c>
      <c r="K158" s="162">
        <f t="shared" si="50"/>
        <v>0</v>
      </c>
      <c r="L158" s="162">
        <f t="shared" si="50"/>
        <v>0</v>
      </c>
      <c r="M158" s="162">
        <f t="shared" si="50"/>
        <v>0</v>
      </c>
      <c r="N158" s="162">
        <f t="shared" si="50"/>
        <v>0</v>
      </c>
      <c r="O158" s="162">
        <f t="shared" si="50"/>
        <v>0</v>
      </c>
      <c r="P158" s="162">
        <f t="shared" si="50"/>
        <v>4806</v>
      </c>
    </row>
    <row r="159" spans="1:16" ht="14.25" customHeight="1" x14ac:dyDescent="0.25">
      <c r="A159" s="469">
        <f>A156+1</f>
        <v>51</v>
      </c>
      <c r="B159" s="470" t="s">
        <v>405</v>
      </c>
      <c r="C159" s="471" t="s">
        <v>597</v>
      </c>
      <c r="D159" s="472">
        <v>41962</v>
      </c>
      <c r="E159" s="474" t="s">
        <v>465</v>
      </c>
      <c r="F159" s="167" t="s">
        <v>598</v>
      </c>
      <c r="G159" s="157" t="s">
        <v>409</v>
      </c>
      <c r="H159" s="158">
        <v>17748</v>
      </c>
      <c r="I159" s="158">
        <v>17748</v>
      </c>
      <c r="J159" s="158">
        <v>17748</v>
      </c>
      <c r="K159" s="158">
        <v>17748</v>
      </c>
      <c r="L159" s="158">
        <v>17748</v>
      </c>
      <c r="M159" s="158">
        <v>17748</v>
      </c>
      <c r="N159" s="158">
        <v>0</v>
      </c>
      <c r="O159" s="158">
        <v>0</v>
      </c>
      <c r="P159" s="158">
        <f>SUM(H159:O159)</f>
        <v>106488</v>
      </c>
    </row>
    <row r="160" spans="1:16" ht="14.25" customHeight="1" x14ac:dyDescent="0.25">
      <c r="A160" s="469"/>
      <c r="B160" s="470"/>
      <c r="C160" s="471"/>
      <c r="D160" s="472"/>
      <c r="E160" s="474"/>
      <c r="F160" s="165" t="s">
        <v>599</v>
      </c>
      <c r="G160" s="159" t="s">
        <v>410</v>
      </c>
      <c r="H160" s="160">
        <v>2999</v>
      </c>
      <c r="I160" s="160">
        <f>3467+218</f>
        <v>3685</v>
      </c>
      <c r="J160" s="160">
        <f>2846+173</f>
        <v>3019</v>
      </c>
      <c r="K160" s="160">
        <f>2107+128</f>
        <v>2235</v>
      </c>
      <c r="L160" s="160">
        <f>1366+83</f>
        <v>1449</v>
      </c>
      <c r="M160" s="160">
        <f>626+38</f>
        <v>664</v>
      </c>
      <c r="N160" s="173">
        <v>43</v>
      </c>
      <c r="O160" s="160">
        <v>0</v>
      </c>
      <c r="P160" s="160">
        <f>SUM(H160:O160)</f>
        <v>14094</v>
      </c>
    </row>
    <row r="161" spans="1:16" ht="14.25" customHeight="1" x14ac:dyDescent="0.25">
      <c r="A161" s="469"/>
      <c r="B161" s="482"/>
      <c r="C161" s="484"/>
      <c r="D161" s="475"/>
      <c r="E161" s="478"/>
      <c r="F161" s="168"/>
      <c r="G161" s="168" t="s">
        <v>411</v>
      </c>
      <c r="H161" s="162">
        <f t="shared" ref="H161:P161" si="51">SUM(H159:H160)</f>
        <v>20747</v>
      </c>
      <c r="I161" s="162">
        <f t="shared" si="51"/>
        <v>21433</v>
      </c>
      <c r="J161" s="162">
        <f t="shared" si="51"/>
        <v>20767</v>
      </c>
      <c r="K161" s="162">
        <f t="shared" si="51"/>
        <v>19983</v>
      </c>
      <c r="L161" s="162">
        <f t="shared" si="51"/>
        <v>19197</v>
      </c>
      <c r="M161" s="162">
        <f t="shared" si="51"/>
        <v>18412</v>
      </c>
      <c r="N161" s="162">
        <f t="shared" si="51"/>
        <v>43</v>
      </c>
      <c r="O161" s="162">
        <f t="shared" si="51"/>
        <v>0</v>
      </c>
      <c r="P161" s="162">
        <f t="shared" si="51"/>
        <v>120582</v>
      </c>
    </row>
    <row r="162" spans="1:16" ht="14.25" customHeight="1" x14ac:dyDescent="0.25">
      <c r="A162" s="469">
        <f>A159+1</f>
        <v>52</v>
      </c>
      <c r="B162" s="470" t="s">
        <v>405</v>
      </c>
      <c r="C162" s="471" t="s">
        <v>600</v>
      </c>
      <c r="D162" s="472">
        <v>41962</v>
      </c>
      <c r="E162" s="474" t="s">
        <v>601</v>
      </c>
      <c r="F162" s="167" t="s">
        <v>602</v>
      </c>
      <c r="G162" s="157" t="s">
        <v>409</v>
      </c>
      <c r="H162" s="158">
        <v>13692</v>
      </c>
      <c r="I162" s="158">
        <v>13692</v>
      </c>
      <c r="J162" s="158">
        <v>13692</v>
      </c>
      <c r="K162" s="158">
        <v>13692</v>
      </c>
      <c r="L162" s="158">
        <v>13692</v>
      </c>
      <c r="M162" s="158">
        <v>13692</v>
      </c>
      <c r="N162" s="158">
        <v>13692</v>
      </c>
      <c r="O162" s="158">
        <f>68460</f>
        <v>68460</v>
      </c>
      <c r="P162" s="158">
        <f>SUM(H162:O162)</f>
        <v>164304</v>
      </c>
    </row>
    <row r="163" spans="1:16" ht="14.25" customHeight="1" x14ac:dyDescent="0.25">
      <c r="A163" s="469"/>
      <c r="B163" s="470"/>
      <c r="C163" s="471"/>
      <c r="D163" s="472"/>
      <c r="E163" s="474"/>
      <c r="F163" s="165" t="s">
        <v>603</v>
      </c>
      <c r="G163" s="159" t="s">
        <v>410</v>
      </c>
      <c r="H163" s="160">
        <f>4710</f>
        <v>4710</v>
      </c>
      <c r="I163" s="160">
        <f>5998+388</f>
        <v>6386</v>
      </c>
      <c r="J163" s="160">
        <f>5622+342</f>
        <v>5964</v>
      </c>
      <c r="K163" s="160">
        <f>5052+307</f>
        <v>5359</v>
      </c>
      <c r="L163" s="160">
        <f>4481+272</f>
        <v>4753</v>
      </c>
      <c r="M163" s="160">
        <f>3919+238</f>
        <v>4157</v>
      </c>
      <c r="N163" s="173">
        <f>3337+203</f>
        <v>3540</v>
      </c>
      <c r="O163" s="173">
        <v>8641</v>
      </c>
      <c r="P163" s="160">
        <f>SUM(H163:O163)</f>
        <v>43510</v>
      </c>
    </row>
    <row r="164" spans="1:16" ht="14.25" customHeight="1" x14ac:dyDescent="0.25">
      <c r="A164" s="469"/>
      <c r="B164" s="470"/>
      <c r="C164" s="471"/>
      <c r="D164" s="472"/>
      <c r="E164" s="474"/>
      <c r="F164" s="161"/>
      <c r="G164" s="161" t="s">
        <v>411</v>
      </c>
      <c r="H164" s="162">
        <f t="shared" ref="H164:P164" si="52">SUM(H162:H163)</f>
        <v>18402</v>
      </c>
      <c r="I164" s="162">
        <f t="shared" si="52"/>
        <v>20078</v>
      </c>
      <c r="J164" s="162">
        <f t="shared" si="52"/>
        <v>19656</v>
      </c>
      <c r="K164" s="162">
        <f t="shared" si="52"/>
        <v>19051</v>
      </c>
      <c r="L164" s="162">
        <f t="shared" si="52"/>
        <v>18445</v>
      </c>
      <c r="M164" s="162">
        <f t="shared" si="52"/>
        <v>17849</v>
      </c>
      <c r="N164" s="162">
        <f t="shared" si="52"/>
        <v>17232</v>
      </c>
      <c r="O164" s="162">
        <f t="shared" si="52"/>
        <v>77101</v>
      </c>
      <c r="P164" s="162">
        <f t="shared" si="52"/>
        <v>207814</v>
      </c>
    </row>
    <row r="165" spans="1:16" ht="18.600000000000001" customHeight="1" x14ac:dyDescent="0.25">
      <c r="A165" s="469">
        <f>A162+1</f>
        <v>53</v>
      </c>
      <c r="B165" s="470" t="s">
        <v>405</v>
      </c>
      <c r="C165" s="471" t="s">
        <v>604</v>
      </c>
      <c r="D165" s="472">
        <v>41963</v>
      </c>
      <c r="E165" s="474" t="s">
        <v>508</v>
      </c>
      <c r="F165" s="167" t="s">
        <v>605</v>
      </c>
      <c r="G165" s="157" t="s">
        <v>409</v>
      </c>
      <c r="H165" s="158">
        <v>5608</v>
      </c>
      <c r="I165" s="164">
        <v>0</v>
      </c>
      <c r="J165" s="164">
        <v>0</v>
      </c>
      <c r="K165" s="164">
        <v>0</v>
      </c>
      <c r="L165" s="164">
        <v>0</v>
      </c>
      <c r="M165" s="164">
        <v>0</v>
      </c>
      <c r="N165" s="164">
        <v>0</v>
      </c>
      <c r="O165" s="164">
        <v>0</v>
      </c>
      <c r="P165" s="158">
        <f>SUM(H165:O165)</f>
        <v>5608</v>
      </c>
    </row>
    <row r="166" spans="1:16" ht="16.5" customHeight="1" x14ac:dyDescent="0.25">
      <c r="A166" s="469"/>
      <c r="B166" s="470"/>
      <c r="C166" s="471"/>
      <c r="D166" s="472"/>
      <c r="E166" s="474"/>
      <c r="F166" s="165" t="s">
        <v>606</v>
      </c>
      <c r="G166" s="159" t="s">
        <v>410</v>
      </c>
      <c r="H166" s="160">
        <v>98</v>
      </c>
      <c r="I166" s="166">
        <v>0</v>
      </c>
      <c r="J166" s="166">
        <v>0</v>
      </c>
      <c r="K166" s="166">
        <v>0</v>
      </c>
      <c r="L166" s="166">
        <v>0</v>
      </c>
      <c r="M166" s="166">
        <v>0</v>
      </c>
      <c r="N166" s="166">
        <v>0</v>
      </c>
      <c r="O166" s="166">
        <v>0</v>
      </c>
      <c r="P166" s="160">
        <f>SUM(H166:O166)</f>
        <v>98</v>
      </c>
    </row>
    <row r="167" spans="1:16" ht="16.5" customHeight="1" x14ac:dyDescent="0.25">
      <c r="A167" s="469"/>
      <c r="B167" s="470"/>
      <c r="C167" s="471"/>
      <c r="D167" s="472"/>
      <c r="E167" s="474"/>
      <c r="F167" s="161"/>
      <c r="G167" s="161" t="s">
        <v>411</v>
      </c>
      <c r="H167" s="162">
        <f t="shared" ref="H167:P167" si="53">SUM(H165:H166)</f>
        <v>5706</v>
      </c>
      <c r="I167" s="162">
        <f t="shared" si="53"/>
        <v>0</v>
      </c>
      <c r="J167" s="162">
        <f t="shared" si="53"/>
        <v>0</v>
      </c>
      <c r="K167" s="162">
        <f t="shared" si="53"/>
        <v>0</v>
      </c>
      <c r="L167" s="162">
        <f t="shared" si="53"/>
        <v>0</v>
      </c>
      <c r="M167" s="162">
        <f t="shared" si="53"/>
        <v>0</v>
      </c>
      <c r="N167" s="162">
        <f t="shared" si="53"/>
        <v>0</v>
      </c>
      <c r="O167" s="162">
        <f t="shared" si="53"/>
        <v>0</v>
      </c>
      <c r="P167" s="162">
        <f t="shared" si="53"/>
        <v>5706</v>
      </c>
    </row>
    <row r="168" spans="1:16" ht="16.5" customHeight="1" x14ac:dyDescent="0.25">
      <c r="A168" s="469">
        <f>A165+1</f>
        <v>54</v>
      </c>
      <c r="B168" s="470" t="s">
        <v>405</v>
      </c>
      <c r="C168" s="471" t="s">
        <v>607</v>
      </c>
      <c r="D168" s="472">
        <v>41989</v>
      </c>
      <c r="E168" s="474" t="s">
        <v>608</v>
      </c>
      <c r="F168" s="167" t="s">
        <v>609</v>
      </c>
      <c r="G168" s="157" t="s">
        <v>409</v>
      </c>
      <c r="H168" s="158">
        <v>6100</v>
      </c>
      <c r="I168" s="158">
        <v>6100</v>
      </c>
      <c r="J168" s="158">
        <v>6100</v>
      </c>
      <c r="K168" s="158">
        <v>6100</v>
      </c>
      <c r="L168" s="158">
        <v>6100</v>
      </c>
      <c r="M168" s="158">
        <v>6100</v>
      </c>
      <c r="N168" s="158">
        <v>6100</v>
      </c>
      <c r="O168" s="158">
        <v>0</v>
      </c>
      <c r="P168" s="158">
        <f>SUM(H168:O168)</f>
        <v>42700</v>
      </c>
    </row>
    <row r="169" spans="1:16" ht="16.899999999999999" customHeight="1" x14ac:dyDescent="0.25">
      <c r="A169" s="469"/>
      <c r="B169" s="470"/>
      <c r="C169" s="471"/>
      <c r="D169" s="472"/>
      <c r="E169" s="474"/>
      <c r="F169" s="165" t="s">
        <v>610</v>
      </c>
      <c r="G169" s="159" t="s">
        <v>410</v>
      </c>
      <c r="H169" s="160">
        <v>1053</v>
      </c>
      <c r="I169" s="160">
        <f>1391+90</f>
        <v>1481</v>
      </c>
      <c r="J169" s="160">
        <f>1233+75</f>
        <v>1308</v>
      </c>
      <c r="K169" s="160">
        <f>979+59</f>
        <v>1038</v>
      </c>
      <c r="L169" s="160">
        <f>724+44</f>
        <v>768</v>
      </c>
      <c r="M169" s="160">
        <f>470+29</f>
        <v>499</v>
      </c>
      <c r="N169" s="173">
        <f>214+13</f>
        <v>227</v>
      </c>
      <c r="O169" s="173">
        <v>9</v>
      </c>
      <c r="P169" s="160">
        <f>SUM(H169:O169)</f>
        <v>6383</v>
      </c>
    </row>
    <row r="170" spans="1:16" ht="16.5" customHeight="1" x14ac:dyDescent="0.25">
      <c r="A170" s="469"/>
      <c r="B170" s="470"/>
      <c r="C170" s="471"/>
      <c r="D170" s="472"/>
      <c r="E170" s="474"/>
      <c r="F170" s="161"/>
      <c r="G170" s="161" t="s">
        <v>411</v>
      </c>
      <c r="H170" s="162">
        <f t="shared" ref="H170:P170" si="54">SUM(H168:H169)</f>
        <v>7153</v>
      </c>
      <c r="I170" s="162">
        <f t="shared" si="54"/>
        <v>7581</v>
      </c>
      <c r="J170" s="162">
        <f t="shared" si="54"/>
        <v>7408</v>
      </c>
      <c r="K170" s="162">
        <f t="shared" si="54"/>
        <v>7138</v>
      </c>
      <c r="L170" s="162">
        <f t="shared" si="54"/>
        <v>6868</v>
      </c>
      <c r="M170" s="162">
        <f t="shared" si="54"/>
        <v>6599</v>
      </c>
      <c r="N170" s="162">
        <f t="shared" si="54"/>
        <v>6327</v>
      </c>
      <c r="O170" s="162">
        <f t="shared" si="54"/>
        <v>9</v>
      </c>
      <c r="P170" s="162">
        <f t="shared" si="54"/>
        <v>49083</v>
      </c>
    </row>
    <row r="171" spans="1:16" ht="15" customHeight="1" x14ac:dyDescent="0.25">
      <c r="A171" s="469">
        <f>A168+1</f>
        <v>55</v>
      </c>
      <c r="B171" s="470" t="s">
        <v>405</v>
      </c>
      <c r="C171" s="471" t="s">
        <v>611</v>
      </c>
      <c r="D171" s="472">
        <v>42103</v>
      </c>
      <c r="E171" s="474" t="s">
        <v>612</v>
      </c>
      <c r="F171" s="167" t="s">
        <v>613</v>
      </c>
      <c r="G171" s="157" t="s">
        <v>409</v>
      </c>
      <c r="H171" s="158">
        <v>2188</v>
      </c>
      <c r="I171" s="158">
        <v>2188</v>
      </c>
      <c r="J171" s="158">
        <v>2188</v>
      </c>
      <c r="K171" s="158">
        <v>2188</v>
      </c>
      <c r="L171" s="158">
        <v>2188</v>
      </c>
      <c r="M171" s="158">
        <v>2188</v>
      </c>
      <c r="N171" s="158">
        <v>2188</v>
      </c>
      <c r="O171" s="158">
        <v>33367</v>
      </c>
      <c r="P171" s="158">
        <f>SUM(H171:O171)</f>
        <v>48683</v>
      </c>
    </row>
    <row r="172" spans="1:16" ht="15.75" customHeight="1" x14ac:dyDescent="0.25">
      <c r="A172" s="469"/>
      <c r="B172" s="470"/>
      <c r="C172" s="471"/>
      <c r="D172" s="472"/>
      <c r="E172" s="474"/>
      <c r="F172" s="165" t="s">
        <v>614</v>
      </c>
      <c r="G172" s="159" t="s">
        <v>410</v>
      </c>
      <c r="H172" s="160">
        <f>899+81</f>
        <v>980</v>
      </c>
      <c r="I172" s="160">
        <f>1813+117</f>
        <v>1930</v>
      </c>
      <c r="J172" s="160">
        <f>1834+111</f>
        <v>1945</v>
      </c>
      <c r="K172" s="160">
        <f>1743+105</f>
        <v>1848</v>
      </c>
      <c r="L172" s="160">
        <f>1651+100</f>
        <v>1751</v>
      </c>
      <c r="M172" s="160">
        <f>1564+95</f>
        <v>1659</v>
      </c>
      <c r="N172" s="173">
        <f>1468+89</f>
        <v>1557</v>
      </c>
      <c r="O172" s="173">
        <v>11779</v>
      </c>
      <c r="P172" s="160">
        <f>SUM(H172:O172)</f>
        <v>23449</v>
      </c>
    </row>
    <row r="173" spans="1:16" ht="15.75" customHeight="1" x14ac:dyDescent="0.25">
      <c r="A173" s="469"/>
      <c r="B173" s="470"/>
      <c r="C173" s="471"/>
      <c r="D173" s="472"/>
      <c r="E173" s="474"/>
      <c r="F173" s="161"/>
      <c r="G173" s="161" t="s">
        <v>411</v>
      </c>
      <c r="H173" s="162">
        <f t="shared" ref="H173:P173" si="55">SUM(H171:H172)</f>
        <v>3168</v>
      </c>
      <c r="I173" s="162">
        <f t="shared" si="55"/>
        <v>4118</v>
      </c>
      <c r="J173" s="162">
        <f t="shared" si="55"/>
        <v>4133</v>
      </c>
      <c r="K173" s="162">
        <f t="shared" si="55"/>
        <v>4036</v>
      </c>
      <c r="L173" s="162">
        <f t="shared" si="55"/>
        <v>3939</v>
      </c>
      <c r="M173" s="162">
        <f t="shared" si="55"/>
        <v>3847</v>
      </c>
      <c r="N173" s="162">
        <f t="shared" si="55"/>
        <v>3745</v>
      </c>
      <c r="O173" s="162">
        <f t="shared" si="55"/>
        <v>45146</v>
      </c>
      <c r="P173" s="162">
        <f t="shared" si="55"/>
        <v>72132</v>
      </c>
    </row>
    <row r="174" spans="1:16" ht="18.600000000000001" customHeight="1" x14ac:dyDescent="0.25">
      <c r="A174" s="469">
        <f>A171+1</f>
        <v>56</v>
      </c>
      <c r="B174" s="470" t="s">
        <v>405</v>
      </c>
      <c r="C174" s="471" t="s">
        <v>615</v>
      </c>
      <c r="D174" s="472">
        <v>42207</v>
      </c>
      <c r="E174" s="474" t="s">
        <v>616</v>
      </c>
      <c r="F174" s="167" t="s">
        <v>617</v>
      </c>
      <c r="G174" s="157" t="s">
        <v>409</v>
      </c>
      <c r="H174" s="158">
        <v>24780</v>
      </c>
      <c r="I174" s="158">
        <v>24780</v>
      </c>
      <c r="J174" s="158">
        <v>24780</v>
      </c>
      <c r="K174" s="158">
        <v>24780</v>
      </c>
      <c r="L174" s="158">
        <v>24780</v>
      </c>
      <c r="M174" s="158">
        <v>24780</v>
      </c>
      <c r="N174" s="158">
        <v>24780</v>
      </c>
      <c r="O174" s="158">
        <v>18585</v>
      </c>
      <c r="P174" s="158">
        <f>SUM(H174:O174)</f>
        <v>192045</v>
      </c>
    </row>
    <row r="175" spans="1:16" ht="15.75" customHeight="1" x14ac:dyDescent="0.25">
      <c r="A175" s="469"/>
      <c r="B175" s="470"/>
      <c r="C175" s="471"/>
      <c r="D175" s="472"/>
      <c r="E175" s="474"/>
      <c r="F175" s="165" t="s">
        <v>618</v>
      </c>
      <c r="G175" s="159" t="s">
        <v>410</v>
      </c>
      <c r="H175" s="160">
        <f>3638+306</f>
        <v>3944</v>
      </c>
      <c r="I175" s="160">
        <f>6896+415</f>
        <v>7311</v>
      </c>
      <c r="J175" s="160">
        <f>5783+351</f>
        <v>6134</v>
      </c>
      <c r="K175" s="160">
        <f>4751+289</f>
        <v>5040</v>
      </c>
      <c r="L175" s="160">
        <f>3717+226</f>
        <v>3943</v>
      </c>
      <c r="M175" s="160">
        <f>2688+163</f>
        <v>2851</v>
      </c>
      <c r="N175" s="173">
        <f>1646.1</f>
        <v>1646.1</v>
      </c>
      <c r="O175" s="173">
        <f>570+35</f>
        <v>605</v>
      </c>
      <c r="P175" s="160">
        <f>SUM(H175:O175)</f>
        <v>31474.1</v>
      </c>
    </row>
    <row r="176" spans="1:16" ht="15.75" customHeight="1" x14ac:dyDescent="0.25">
      <c r="A176" s="469"/>
      <c r="B176" s="470"/>
      <c r="C176" s="471"/>
      <c r="D176" s="472"/>
      <c r="E176" s="474"/>
      <c r="F176" s="161"/>
      <c r="G176" s="161" t="s">
        <v>411</v>
      </c>
      <c r="H176" s="162">
        <f t="shared" ref="H176:P176" si="56">SUM(H174:H175)</f>
        <v>28724</v>
      </c>
      <c r="I176" s="162">
        <f t="shared" si="56"/>
        <v>32091</v>
      </c>
      <c r="J176" s="162">
        <f t="shared" si="56"/>
        <v>30914</v>
      </c>
      <c r="K176" s="162">
        <f t="shared" si="56"/>
        <v>29820</v>
      </c>
      <c r="L176" s="162">
        <f t="shared" si="56"/>
        <v>28723</v>
      </c>
      <c r="M176" s="162">
        <f t="shared" si="56"/>
        <v>27631</v>
      </c>
      <c r="N176" s="162">
        <f t="shared" si="56"/>
        <v>26426.1</v>
      </c>
      <c r="O176" s="162">
        <f t="shared" si="56"/>
        <v>19190</v>
      </c>
      <c r="P176" s="162">
        <f t="shared" si="56"/>
        <v>223519.1</v>
      </c>
    </row>
    <row r="177" spans="1:16" ht="16.899999999999999" customHeight="1" x14ac:dyDescent="0.25">
      <c r="A177" s="469">
        <f>A174+1</f>
        <v>57</v>
      </c>
      <c r="B177" s="470" t="s">
        <v>405</v>
      </c>
      <c r="C177" s="471" t="s">
        <v>619</v>
      </c>
      <c r="D177" s="472">
        <v>42207</v>
      </c>
      <c r="E177" s="474" t="s">
        <v>620</v>
      </c>
      <c r="F177" s="167" t="s">
        <v>621</v>
      </c>
      <c r="G177" s="157" t="s">
        <v>409</v>
      </c>
      <c r="H177" s="158">
        <v>4760</v>
      </c>
      <c r="I177" s="158">
        <v>4760</v>
      </c>
      <c r="J177" s="158">
        <v>4760</v>
      </c>
      <c r="K177" s="158">
        <v>4760</v>
      </c>
      <c r="L177" s="158">
        <v>4760</v>
      </c>
      <c r="M177" s="158">
        <v>4760</v>
      </c>
      <c r="N177" s="158">
        <v>4760</v>
      </c>
      <c r="O177" s="158">
        <f>27370</f>
        <v>27370</v>
      </c>
      <c r="P177" s="158">
        <f>SUM(H177:O177)</f>
        <v>60690</v>
      </c>
    </row>
    <row r="178" spans="1:16" ht="16.5" customHeight="1" x14ac:dyDescent="0.25">
      <c r="A178" s="469"/>
      <c r="B178" s="470"/>
      <c r="C178" s="471"/>
      <c r="D178" s="472"/>
      <c r="E178" s="474"/>
      <c r="F178" s="165" t="s">
        <v>622</v>
      </c>
      <c r="G178" s="159" t="s">
        <v>410</v>
      </c>
      <c r="H178" s="160">
        <f>1164+100</f>
        <v>1264</v>
      </c>
      <c r="I178" s="160">
        <f>2329+140</f>
        <v>2469</v>
      </c>
      <c r="J178" s="160">
        <f>2104+128</f>
        <v>2232</v>
      </c>
      <c r="K178" s="160">
        <f>1905+116</f>
        <v>2021</v>
      </c>
      <c r="L178" s="160">
        <f>1707+104</f>
        <v>1811</v>
      </c>
      <c r="M178" s="160">
        <f>1512+92</f>
        <v>1604</v>
      </c>
      <c r="N178" s="173">
        <f>1309+79</f>
        <v>1388</v>
      </c>
      <c r="O178" s="173">
        <v>3904</v>
      </c>
      <c r="P178" s="160">
        <f>SUM(H178:O178)</f>
        <v>16693</v>
      </c>
    </row>
    <row r="179" spans="1:16" ht="16.5" customHeight="1" x14ac:dyDescent="0.25">
      <c r="A179" s="469"/>
      <c r="B179" s="482"/>
      <c r="C179" s="484"/>
      <c r="D179" s="475"/>
      <c r="E179" s="478"/>
      <c r="F179" s="168"/>
      <c r="G179" s="168" t="s">
        <v>411</v>
      </c>
      <c r="H179" s="162">
        <f t="shared" ref="H179:P179" si="57">SUM(H177:H178)</f>
        <v>6024</v>
      </c>
      <c r="I179" s="162">
        <f t="shared" si="57"/>
        <v>7229</v>
      </c>
      <c r="J179" s="162">
        <f t="shared" si="57"/>
        <v>6992</v>
      </c>
      <c r="K179" s="162">
        <f t="shared" si="57"/>
        <v>6781</v>
      </c>
      <c r="L179" s="162">
        <f t="shared" si="57"/>
        <v>6571</v>
      </c>
      <c r="M179" s="162">
        <f t="shared" si="57"/>
        <v>6364</v>
      </c>
      <c r="N179" s="162">
        <f t="shared" si="57"/>
        <v>6148</v>
      </c>
      <c r="O179" s="162">
        <f t="shared" si="57"/>
        <v>31274</v>
      </c>
      <c r="P179" s="162">
        <f t="shared" si="57"/>
        <v>77383</v>
      </c>
    </row>
    <row r="180" spans="1:16" ht="17.25" customHeight="1" x14ac:dyDescent="0.25">
      <c r="A180" s="469">
        <f>A177+1</f>
        <v>58</v>
      </c>
      <c r="B180" s="470" t="s">
        <v>405</v>
      </c>
      <c r="C180" s="471" t="s">
        <v>623</v>
      </c>
      <c r="D180" s="472">
        <v>42214</v>
      </c>
      <c r="E180" s="474" t="s">
        <v>616</v>
      </c>
      <c r="F180" s="167" t="s">
        <v>624</v>
      </c>
      <c r="G180" s="157" t="s">
        <v>409</v>
      </c>
      <c r="H180" s="158">
        <v>16952</v>
      </c>
      <c r="I180" s="158">
        <v>16952</v>
      </c>
      <c r="J180" s="158">
        <v>16952</v>
      </c>
      <c r="K180" s="158">
        <v>16952</v>
      </c>
      <c r="L180" s="158">
        <v>16952</v>
      </c>
      <c r="M180" s="158">
        <v>16952</v>
      </c>
      <c r="N180" s="158">
        <v>16952</v>
      </c>
      <c r="O180" s="158">
        <v>12714</v>
      </c>
      <c r="P180" s="158">
        <f>SUM(H180:O180)</f>
        <v>131378</v>
      </c>
    </row>
    <row r="181" spans="1:16" ht="17.25" customHeight="1" x14ac:dyDescent="0.25">
      <c r="A181" s="469"/>
      <c r="B181" s="470"/>
      <c r="C181" s="471"/>
      <c r="D181" s="472"/>
      <c r="E181" s="474"/>
      <c r="F181" s="172" t="s">
        <v>625</v>
      </c>
      <c r="G181" s="159" t="s">
        <v>410</v>
      </c>
      <c r="H181" s="160">
        <f>2400+182</f>
        <v>2582</v>
      </c>
      <c r="I181" s="160">
        <f>4675+284</f>
        <v>4959</v>
      </c>
      <c r="J181" s="160">
        <f>3956+240</f>
        <v>4196</v>
      </c>
      <c r="K181" s="160">
        <f>3250+197</f>
        <v>3447</v>
      </c>
      <c r="L181" s="160">
        <f>2543+154</f>
        <v>2697</v>
      </c>
      <c r="M181" s="160">
        <f>1838+112</f>
        <v>1950</v>
      </c>
      <c r="N181" s="173">
        <f>1126+68</f>
        <v>1194</v>
      </c>
      <c r="O181" s="173">
        <f>390+68</f>
        <v>458</v>
      </c>
      <c r="P181" s="160">
        <f>SUM(H181:O181)</f>
        <v>21483</v>
      </c>
    </row>
    <row r="182" spans="1:16" ht="17.25" customHeight="1" x14ac:dyDescent="0.25">
      <c r="A182" s="469"/>
      <c r="B182" s="470"/>
      <c r="C182" s="471"/>
      <c r="D182" s="472"/>
      <c r="E182" s="474"/>
      <c r="F182" s="161"/>
      <c r="G182" s="161" t="s">
        <v>411</v>
      </c>
      <c r="H182" s="162">
        <f t="shared" ref="H182:P182" si="58">SUM(H180:H181)</f>
        <v>19534</v>
      </c>
      <c r="I182" s="162">
        <f t="shared" si="58"/>
        <v>21911</v>
      </c>
      <c r="J182" s="162">
        <f t="shared" si="58"/>
        <v>21148</v>
      </c>
      <c r="K182" s="162">
        <f t="shared" si="58"/>
        <v>20399</v>
      </c>
      <c r="L182" s="162">
        <f t="shared" si="58"/>
        <v>19649</v>
      </c>
      <c r="M182" s="162">
        <f t="shared" si="58"/>
        <v>18902</v>
      </c>
      <c r="N182" s="162">
        <f t="shared" si="58"/>
        <v>18146</v>
      </c>
      <c r="O182" s="162">
        <f t="shared" si="58"/>
        <v>13172</v>
      </c>
      <c r="P182" s="162">
        <f t="shared" si="58"/>
        <v>152861</v>
      </c>
    </row>
    <row r="183" spans="1:16" ht="17.25" customHeight="1" x14ac:dyDescent="0.25">
      <c r="A183" s="469">
        <f>A180+1</f>
        <v>59</v>
      </c>
      <c r="B183" s="470" t="s">
        <v>405</v>
      </c>
      <c r="C183" s="471" t="s">
        <v>626</v>
      </c>
      <c r="D183" s="472">
        <v>42215</v>
      </c>
      <c r="E183" s="474" t="s">
        <v>620</v>
      </c>
      <c r="F183" s="167" t="s">
        <v>627</v>
      </c>
      <c r="G183" s="157" t="s">
        <v>409</v>
      </c>
      <c r="H183" s="158">
        <v>13888</v>
      </c>
      <c r="I183" s="158">
        <v>13888</v>
      </c>
      <c r="J183" s="158">
        <v>13888</v>
      </c>
      <c r="K183" s="158">
        <v>13888</v>
      </c>
      <c r="L183" s="158">
        <v>13888</v>
      </c>
      <c r="M183" s="158">
        <v>13888</v>
      </c>
      <c r="N183" s="158">
        <v>13888</v>
      </c>
      <c r="O183" s="158">
        <f>79856</f>
        <v>79856</v>
      </c>
      <c r="P183" s="158">
        <f>SUM(H183:O183)</f>
        <v>177072</v>
      </c>
    </row>
    <row r="184" spans="1:16" ht="17.25" customHeight="1" x14ac:dyDescent="0.25">
      <c r="A184" s="469"/>
      <c r="B184" s="470"/>
      <c r="C184" s="471"/>
      <c r="D184" s="472"/>
      <c r="E184" s="474"/>
      <c r="F184" s="165" t="s">
        <v>628</v>
      </c>
      <c r="G184" s="159" t="s">
        <v>410</v>
      </c>
      <c r="H184" s="160">
        <f>3225+244</f>
        <v>3469</v>
      </c>
      <c r="I184" s="160">
        <f>6734+410</f>
        <v>7144</v>
      </c>
      <c r="J184" s="160">
        <f>6137+373</f>
        <v>6510</v>
      </c>
      <c r="K184" s="160">
        <f>5559+338</f>
        <v>5897</v>
      </c>
      <c r="L184" s="160">
        <f>4979+303</f>
        <v>5282</v>
      </c>
      <c r="M184" s="160">
        <f>4411+268</f>
        <v>4679</v>
      </c>
      <c r="N184" s="176">
        <f>3819+232</f>
        <v>4051</v>
      </c>
      <c r="O184" s="176">
        <v>11388</v>
      </c>
      <c r="P184" s="160">
        <f>SUM(H184:O184)</f>
        <v>48420</v>
      </c>
    </row>
    <row r="185" spans="1:16" ht="17.25" customHeight="1" x14ac:dyDescent="0.25">
      <c r="A185" s="469"/>
      <c r="B185" s="470"/>
      <c r="C185" s="471"/>
      <c r="D185" s="472"/>
      <c r="E185" s="474"/>
      <c r="F185" s="161"/>
      <c r="G185" s="161" t="s">
        <v>411</v>
      </c>
      <c r="H185" s="162">
        <f t="shared" ref="H185:P185" si="59">SUM(H183:H184)</f>
        <v>17357</v>
      </c>
      <c r="I185" s="162">
        <f t="shared" si="59"/>
        <v>21032</v>
      </c>
      <c r="J185" s="162">
        <f t="shared" si="59"/>
        <v>20398</v>
      </c>
      <c r="K185" s="162">
        <f t="shared" si="59"/>
        <v>19785</v>
      </c>
      <c r="L185" s="162">
        <f t="shared" si="59"/>
        <v>19170</v>
      </c>
      <c r="M185" s="162">
        <f t="shared" si="59"/>
        <v>18567</v>
      </c>
      <c r="N185" s="162">
        <f t="shared" si="59"/>
        <v>17939</v>
      </c>
      <c r="O185" s="162">
        <f t="shared" si="59"/>
        <v>91244</v>
      </c>
      <c r="P185" s="162">
        <f t="shared" si="59"/>
        <v>225492</v>
      </c>
    </row>
    <row r="186" spans="1:16" ht="17.25" customHeight="1" x14ac:dyDescent="0.25">
      <c r="A186" s="469">
        <f>A183+1</f>
        <v>60</v>
      </c>
      <c r="B186" s="470" t="s">
        <v>405</v>
      </c>
      <c r="C186" s="471" t="s">
        <v>629</v>
      </c>
      <c r="D186" s="485">
        <v>42298</v>
      </c>
      <c r="E186" s="474" t="s">
        <v>630</v>
      </c>
      <c r="F186" s="167" t="s">
        <v>631</v>
      </c>
      <c r="G186" s="157" t="s">
        <v>409</v>
      </c>
      <c r="H186" s="158">
        <v>2740</v>
      </c>
      <c r="I186" s="158">
        <v>2740</v>
      </c>
      <c r="J186" s="158">
        <v>2740</v>
      </c>
      <c r="K186" s="158">
        <v>2740</v>
      </c>
      <c r="L186" s="158">
        <v>2740</v>
      </c>
      <c r="M186" s="158">
        <v>2740</v>
      </c>
      <c r="N186" s="158">
        <v>2740</v>
      </c>
      <c r="O186" s="158">
        <v>2740</v>
      </c>
      <c r="P186" s="158">
        <f>SUM(H186:O186)</f>
        <v>21920</v>
      </c>
    </row>
    <row r="187" spans="1:16" ht="17.25" customHeight="1" x14ac:dyDescent="0.25">
      <c r="A187" s="469"/>
      <c r="B187" s="470"/>
      <c r="C187" s="471"/>
      <c r="D187" s="485"/>
      <c r="E187" s="474"/>
      <c r="F187" s="165" t="s">
        <v>632</v>
      </c>
      <c r="G187" s="159" t="s">
        <v>410</v>
      </c>
      <c r="H187" s="160">
        <v>606</v>
      </c>
      <c r="I187" s="160">
        <f>768+48</f>
        <v>816</v>
      </c>
      <c r="J187" s="160">
        <f>668+40</f>
        <v>708</v>
      </c>
      <c r="K187" s="160">
        <f>554+33</f>
        <v>587</v>
      </c>
      <c r="L187" s="160">
        <f>440+26</f>
        <v>466</v>
      </c>
      <c r="M187" s="160">
        <f>326+20</f>
        <v>346</v>
      </c>
      <c r="N187" s="173">
        <f>211+12</f>
        <v>223</v>
      </c>
      <c r="O187" s="173">
        <f>96+8</f>
        <v>104</v>
      </c>
      <c r="P187" s="160">
        <f>SUM(H187:O187)</f>
        <v>3856</v>
      </c>
    </row>
    <row r="188" spans="1:16" ht="17.25" customHeight="1" x14ac:dyDescent="0.25">
      <c r="A188" s="469"/>
      <c r="B188" s="470"/>
      <c r="C188" s="471"/>
      <c r="D188" s="485"/>
      <c r="E188" s="474"/>
      <c r="F188" s="161"/>
      <c r="G188" s="161" t="s">
        <v>411</v>
      </c>
      <c r="H188" s="162">
        <f t="shared" ref="H188:P188" si="60">SUM(H186:H187)</f>
        <v>3346</v>
      </c>
      <c r="I188" s="162">
        <f t="shared" si="60"/>
        <v>3556</v>
      </c>
      <c r="J188" s="162">
        <f t="shared" si="60"/>
        <v>3448</v>
      </c>
      <c r="K188" s="162">
        <f t="shared" si="60"/>
        <v>3327</v>
      </c>
      <c r="L188" s="162">
        <f t="shared" si="60"/>
        <v>3206</v>
      </c>
      <c r="M188" s="162">
        <f t="shared" si="60"/>
        <v>3086</v>
      </c>
      <c r="N188" s="162">
        <f t="shared" si="60"/>
        <v>2963</v>
      </c>
      <c r="O188" s="162">
        <f t="shared" si="60"/>
        <v>2844</v>
      </c>
      <c r="P188" s="162">
        <f t="shared" si="60"/>
        <v>25776</v>
      </c>
    </row>
    <row r="189" spans="1:16" ht="17.25" customHeight="1" x14ac:dyDescent="0.25">
      <c r="A189" s="469">
        <f>A186+1</f>
        <v>61</v>
      </c>
      <c r="B189" s="470" t="s">
        <v>405</v>
      </c>
      <c r="C189" s="481" t="s">
        <v>633</v>
      </c>
      <c r="D189" s="485">
        <v>42552</v>
      </c>
      <c r="E189" s="472">
        <v>45828</v>
      </c>
      <c r="F189" s="167" t="s">
        <v>634</v>
      </c>
      <c r="G189" s="157" t="s">
        <v>409</v>
      </c>
      <c r="H189" s="158">
        <v>16566</v>
      </c>
      <c r="I189" s="158">
        <v>13496</v>
      </c>
      <c r="J189" s="158">
        <v>6748</v>
      </c>
      <c r="K189" s="164">
        <v>0</v>
      </c>
      <c r="L189" s="164">
        <v>0</v>
      </c>
      <c r="M189" s="164">
        <v>0</v>
      </c>
      <c r="N189" s="164">
        <v>0</v>
      </c>
      <c r="O189" s="164">
        <v>0</v>
      </c>
      <c r="P189" s="158">
        <f>SUM(H189:O189)</f>
        <v>36810</v>
      </c>
    </row>
    <row r="190" spans="1:16" ht="17.25" customHeight="1" x14ac:dyDescent="0.25">
      <c r="A190" s="469"/>
      <c r="B190" s="470"/>
      <c r="C190" s="481"/>
      <c r="D190" s="485"/>
      <c r="E190" s="472"/>
      <c r="F190" s="165" t="s">
        <v>635</v>
      </c>
      <c r="G190" s="159" t="s">
        <v>410</v>
      </c>
      <c r="H190" s="160">
        <f>644+53</f>
        <v>697</v>
      </c>
      <c r="I190" s="160">
        <f>748+46</f>
        <v>794</v>
      </c>
      <c r="J190" s="160">
        <f>197+12</f>
        <v>209</v>
      </c>
      <c r="K190" s="166">
        <v>0</v>
      </c>
      <c r="L190" s="166">
        <v>0</v>
      </c>
      <c r="M190" s="166">
        <v>0</v>
      </c>
      <c r="N190" s="166">
        <v>0</v>
      </c>
      <c r="O190" s="166">
        <v>0</v>
      </c>
      <c r="P190" s="160">
        <f>SUM(H190:O190)</f>
        <v>1700</v>
      </c>
    </row>
    <row r="191" spans="1:16" ht="17.25" customHeight="1" x14ac:dyDescent="0.25">
      <c r="A191" s="469"/>
      <c r="B191" s="470"/>
      <c r="C191" s="481"/>
      <c r="D191" s="485"/>
      <c r="E191" s="472"/>
      <c r="F191" s="161"/>
      <c r="G191" s="161" t="s">
        <v>411</v>
      </c>
      <c r="H191" s="162">
        <f t="shared" ref="H191:P191" si="61">SUM(H189:H190)</f>
        <v>17263</v>
      </c>
      <c r="I191" s="162">
        <f t="shared" si="61"/>
        <v>14290</v>
      </c>
      <c r="J191" s="162">
        <f t="shared" si="61"/>
        <v>6957</v>
      </c>
      <c r="K191" s="162">
        <f t="shared" si="61"/>
        <v>0</v>
      </c>
      <c r="L191" s="162">
        <f t="shared" si="61"/>
        <v>0</v>
      </c>
      <c r="M191" s="162">
        <f t="shared" si="61"/>
        <v>0</v>
      </c>
      <c r="N191" s="162">
        <f t="shared" si="61"/>
        <v>0</v>
      </c>
      <c r="O191" s="162">
        <f t="shared" si="61"/>
        <v>0</v>
      </c>
      <c r="P191" s="162">
        <f t="shared" si="61"/>
        <v>38510</v>
      </c>
    </row>
    <row r="192" spans="1:16" ht="17.25" customHeight="1" x14ac:dyDescent="0.25">
      <c r="A192" s="469">
        <f>A189+1</f>
        <v>62</v>
      </c>
      <c r="B192" s="470" t="s">
        <v>405</v>
      </c>
      <c r="C192" s="471" t="s">
        <v>636</v>
      </c>
      <c r="D192" s="472">
        <v>42612</v>
      </c>
      <c r="E192" s="474" t="s">
        <v>637</v>
      </c>
      <c r="F192" s="167" t="s">
        <v>638</v>
      </c>
      <c r="G192" s="157" t="s">
        <v>409</v>
      </c>
      <c r="H192" s="158">
        <v>19944</v>
      </c>
      <c r="I192" s="158">
        <v>19944</v>
      </c>
      <c r="J192" s="158">
        <v>19944</v>
      </c>
      <c r="K192" s="158">
        <v>19944</v>
      </c>
      <c r="L192" s="158">
        <v>19944</v>
      </c>
      <c r="M192" s="158">
        <v>19944</v>
      </c>
      <c r="N192" s="158">
        <v>19944</v>
      </c>
      <c r="O192" s="158">
        <f>134622</f>
        <v>134622</v>
      </c>
      <c r="P192" s="158">
        <f>SUM(H192:O192)</f>
        <v>274230</v>
      </c>
    </row>
    <row r="193" spans="1:16" ht="17.25" customHeight="1" x14ac:dyDescent="0.25">
      <c r="A193" s="469"/>
      <c r="B193" s="470"/>
      <c r="C193" s="471"/>
      <c r="D193" s="472"/>
      <c r="E193" s="474"/>
      <c r="F193" s="165" t="s">
        <v>639</v>
      </c>
      <c r="G193" s="159" t="s">
        <v>410</v>
      </c>
      <c r="H193" s="160">
        <f>5183+192</f>
        <v>5375</v>
      </c>
      <c r="I193" s="160">
        <f>10505+638</f>
        <v>11143</v>
      </c>
      <c r="J193" s="160">
        <f>9645+586</f>
        <v>10231</v>
      </c>
      <c r="K193" s="160">
        <f>8815+536</f>
        <v>9351</v>
      </c>
      <c r="L193" s="160">
        <f>7983+485</f>
        <v>8468</v>
      </c>
      <c r="M193" s="160">
        <f>7168+436</f>
        <v>7604</v>
      </c>
      <c r="N193" s="173">
        <f>6316+384</f>
        <v>6700</v>
      </c>
      <c r="O193" s="173">
        <v>22195</v>
      </c>
      <c r="P193" s="160">
        <f>SUM(H193:O193)</f>
        <v>81067</v>
      </c>
    </row>
    <row r="194" spans="1:16" ht="17.25" customHeight="1" x14ac:dyDescent="0.25">
      <c r="A194" s="469"/>
      <c r="B194" s="470"/>
      <c r="C194" s="471"/>
      <c r="D194" s="472"/>
      <c r="E194" s="474"/>
      <c r="F194" s="161"/>
      <c r="G194" s="161" t="s">
        <v>411</v>
      </c>
      <c r="H194" s="162">
        <f t="shared" ref="H194:P194" si="62">SUM(H192:H193)</f>
        <v>25319</v>
      </c>
      <c r="I194" s="162">
        <f t="shared" si="62"/>
        <v>31087</v>
      </c>
      <c r="J194" s="162">
        <f t="shared" si="62"/>
        <v>30175</v>
      </c>
      <c r="K194" s="162">
        <f t="shared" si="62"/>
        <v>29295</v>
      </c>
      <c r="L194" s="162">
        <f t="shared" si="62"/>
        <v>28412</v>
      </c>
      <c r="M194" s="162">
        <f t="shared" si="62"/>
        <v>27548</v>
      </c>
      <c r="N194" s="162">
        <f t="shared" si="62"/>
        <v>26644</v>
      </c>
      <c r="O194" s="162">
        <f t="shared" si="62"/>
        <v>156817</v>
      </c>
      <c r="P194" s="162">
        <f t="shared" si="62"/>
        <v>355297</v>
      </c>
    </row>
    <row r="195" spans="1:16" ht="17.25" customHeight="1" x14ac:dyDescent="0.25">
      <c r="A195" s="469">
        <f>A192+1</f>
        <v>63</v>
      </c>
      <c r="B195" s="470" t="s">
        <v>405</v>
      </c>
      <c r="C195" s="471" t="s">
        <v>640</v>
      </c>
      <c r="D195" s="472">
        <v>42884</v>
      </c>
      <c r="E195" s="474" t="s">
        <v>641</v>
      </c>
      <c r="F195" s="167" t="s">
        <v>642</v>
      </c>
      <c r="G195" s="157" t="s">
        <v>409</v>
      </c>
      <c r="H195" s="158">
        <v>11260</v>
      </c>
      <c r="I195" s="158">
        <v>11260</v>
      </c>
      <c r="J195" s="158">
        <v>11260</v>
      </c>
      <c r="K195" s="158">
        <v>11260</v>
      </c>
      <c r="L195" s="158">
        <v>11260</v>
      </c>
      <c r="M195" s="158">
        <v>11260</v>
      </c>
      <c r="N195" s="158">
        <v>11260</v>
      </c>
      <c r="O195" s="158">
        <f>140750</f>
        <v>140750</v>
      </c>
      <c r="P195" s="158">
        <f>SUM(H195:O195)</f>
        <v>219570</v>
      </c>
    </row>
    <row r="196" spans="1:16" ht="16.5" customHeight="1" x14ac:dyDescent="0.25">
      <c r="A196" s="469"/>
      <c r="B196" s="470"/>
      <c r="C196" s="471"/>
      <c r="D196" s="472"/>
      <c r="E196" s="474"/>
      <c r="F196" s="165" t="s">
        <v>643</v>
      </c>
      <c r="G196" s="159" t="s">
        <v>410</v>
      </c>
      <c r="H196" s="160">
        <f>3996+452</f>
        <v>4448</v>
      </c>
      <c r="I196" s="160">
        <f>8345+524</f>
        <v>8869</v>
      </c>
      <c r="J196" s="160">
        <f>8146+495</f>
        <v>8641</v>
      </c>
      <c r="K196" s="160">
        <f>7677+466</f>
        <v>8143</v>
      </c>
      <c r="L196" s="160">
        <f>7207+438</f>
        <v>7645</v>
      </c>
      <c r="M196" s="160">
        <f>6755+410</f>
        <v>7165</v>
      </c>
      <c r="N196" s="173">
        <f>6267+381</f>
        <v>6648</v>
      </c>
      <c r="O196" s="173">
        <v>41110</v>
      </c>
      <c r="P196" s="160">
        <f>SUM(H196:O196)</f>
        <v>92669</v>
      </c>
    </row>
    <row r="197" spans="1:16" ht="17.25" customHeight="1" x14ac:dyDescent="0.25">
      <c r="A197" s="469"/>
      <c r="B197" s="470"/>
      <c r="C197" s="471"/>
      <c r="D197" s="472"/>
      <c r="E197" s="474"/>
      <c r="F197" s="161"/>
      <c r="G197" s="161" t="s">
        <v>411</v>
      </c>
      <c r="H197" s="162">
        <f t="shared" ref="H197:P197" si="63">SUM(H195:H196)</f>
        <v>15708</v>
      </c>
      <c r="I197" s="162">
        <f t="shared" si="63"/>
        <v>20129</v>
      </c>
      <c r="J197" s="162">
        <f t="shared" si="63"/>
        <v>19901</v>
      </c>
      <c r="K197" s="162">
        <f t="shared" si="63"/>
        <v>19403</v>
      </c>
      <c r="L197" s="162">
        <f t="shared" si="63"/>
        <v>18905</v>
      </c>
      <c r="M197" s="162">
        <f t="shared" si="63"/>
        <v>18425</v>
      </c>
      <c r="N197" s="162">
        <f t="shared" si="63"/>
        <v>17908</v>
      </c>
      <c r="O197" s="162">
        <f t="shared" si="63"/>
        <v>181860</v>
      </c>
      <c r="P197" s="162">
        <f t="shared" si="63"/>
        <v>312239</v>
      </c>
    </row>
    <row r="198" spans="1:16" ht="16.5" customHeight="1" x14ac:dyDescent="0.25">
      <c r="A198" s="469">
        <f>A195+1</f>
        <v>64</v>
      </c>
      <c r="B198" s="470" t="s">
        <v>405</v>
      </c>
      <c r="C198" s="471" t="s">
        <v>644</v>
      </c>
      <c r="D198" s="472">
        <v>42943</v>
      </c>
      <c r="E198" s="474" t="s">
        <v>645</v>
      </c>
      <c r="F198" s="167" t="s">
        <v>646</v>
      </c>
      <c r="G198" s="157" t="s">
        <v>409</v>
      </c>
      <c r="H198" s="158">
        <v>13552</v>
      </c>
      <c r="I198" s="158">
        <v>13552</v>
      </c>
      <c r="J198" s="158">
        <v>13552</v>
      </c>
      <c r="K198" s="158">
        <v>13552</v>
      </c>
      <c r="L198" s="158">
        <v>13552</v>
      </c>
      <c r="M198" s="158">
        <v>13552</v>
      </c>
      <c r="N198" s="158">
        <v>13552</v>
      </c>
      <c r="O198" s="158">
        <f>37268</f>
        <v>37268</v>
      </c>
      <c r="P198" s="158">
        <f>SUM(H198:O198)</f>
        <v>132132</v>
      </c>
    </row>
    <row r="199" spans="1:16" ht="16.5" customHeight="1" x14ac:dyDescent="0.25">
      <c r="A199" s="469"/>
      <c r="B199" s="470"/>
      <c r="C199" s="471"/>
      <c r="D199" s="472"/>
      <c r="E199" s="474"/>
      <c r="F199" s="165" t="s">
        <v>647</v>
      </c>
      <c r="G199" s="159" t="s">
        <v>410</v>
      </c>
      <c r="H199" s="160">
        <f>2471+199</f>
        <v>2670</v>
      </c>
      <c r="I199" s="160">
        <f>4916+296</f>
        <v>5212</v>
      </c>
      <c r="J199" s="160">
        <f>4293+261</f>
        <v>4554</v>
      </c>
      <c r="K199" s="160">
        <f>3729+226</f>
        <v>3955</v>
      </c>
      <c r="L199" s="160">
        <f>3163+192</f>
        <v>3355</v>
      </c>
      <c r="M199" s="160">
        <f>2604+158</f>
        <v>2762</v>
      </c>
      <c r="N199" s="173">
        <f>2031+123</f>
        <v>2154</v>
      </c>
      <c r="O199" s="173">
        <v>2844</v>
      </c>
      <c r="P199" s="160">
        <f>SUM(H199:O199)</f>
        <v>27506</v>
      </c>
    </row>
    <row r="200" spans="1:16" ht="17.25" customHeight="1" x14ac:dyDescent="0.25">
      <c r="A200" s="469"/>
      <c r="B200" s="470"/>
      <c r="C200" s="471"/>
      <c r="D200" s="472"/>
      <c r="E200" s="474"/>
      <c r="F200" s="161"/>
      <c r="G200" s="161" t="s">
        <v>411</v>
      </c>
      <c r="H200" s="162">
        <f t="shared" ref="H200:P200" si="64">SUM(H198:H199)</f>
        <v>16222</v>
      </c>
      <c r="I200" s="162">
        <f t="shared" si="64"/>
        <v>18764</v>
      </c>
      <c r="J200" s="162">
        <f t="shared" si="64"/>
        <v>18106</v>
      </c>
      <c r="K200" s="162">
        <f t="shared" si="64"/>
        <v>17507</v>
      </c>
      <c r="L200" s="162">
        <f t="shared" si="64"/>
        <v>16907</v>
      </c>
      <c r="M200" s="162">
        <f t="shared" si="64"/>
        <v>16314</v>
      </c>
      <c r="N200" s="162">
        <f t="shared" si="64"/>
        <v>15706</v>
      </c>
      <c r="O200" s="162">
        <f t="shared" si="64"/>
        <v>40112</v>
      </c>
      <c r="P200" s="162">
        <f t="shared" si="64"/>
        <v>159638</v>
      </c>
    </row>
    <row r="201" spans="1:16" ht="17.25" customHeight="1" x14ac:dyDescent="0.25">
      <c r="A201" s="469">
        <f>A198+1</f>
        <v>65</v>
      </c>
      <c r="B201" s="470" t="s">
        <v>405</v>
      </c>
      <c r="C201" s="471" t="s">
        <v>648</v>
      </c>
      <c r="D201" s="472">
        <v>42957</v>
      </c>
      <c r="E201" s="474" t="s">
        <v>645</v>
      </c>
      <c r="F201" s="167" t="s">
        <v>649</v>
      </c>
      <c r="G201" s="157" t="s">
        <v>409</v>
      </c>
      <c r="H201" s="158">
        <v>7260</v>
      </c>
      <c r="I201" s="158">
        <v>7260</v>
      </c>
      <c r="J201" s="158">
        <v>7260</v>
      </c>
      <c r="K201" s="158">
        <v>7260</v>
      </c>
      <c r="L201" s="158">
        <v>7260</v>
      </c>
      <c r="M201" s="158">
        <v>7260</v>
      </c>
      <c r="N201" s="158">
        <v>7260</v>
      </c>
      <c r="O201" s="158">
        <f>19965</f>
        <v>19965</v>
      </c>
      <c r="P201" s="158">
        <f>SUM(H201:O201)</f>
        <v>70785</v>
      </c>
    </row>
    <row r="202" spans="1:16" ht="15.75" customHeight="1" x14ac:dyDescent="0.25">
      <c r="A202" s="469"/>
      <c r="B202" s="470"/>
      <c r="C202" s="471"/>
      <c r="D202" s="472"/>
      <c r="E202" s="474"/>
      <c r="F202" s="165" t="s">
        <v>650</v>
      </c>
      <c r="G202" s="159" t="s">
        <v>410</v>
      </c>
      <c r="H202" s="160">
        <f>1309+81</f>
        <v>1390</v>
      </c>
      <c r="I202" s="160">
        <f>2609+159</f>
        <v>2768</v>
      </c>
      <c r="J202" s="160">
        <f>2300+139</f>
        <v>2439</v>
      </c>
      <c r="K202" s="160">
        <f>1998+121</f>
        <v>2119</v>
      </c>
      <c r="L202" s="160">
        <f>1694+103</f>
        <v>1797</v>
      </c>
      <c r="M202" s="160">
        <f>1395+85</f>
        <v>1480</v>
      </c>
      <c r="N202" s="173">
        <f>1088+66</f>
        <v>1154</v>
      </c>
      <c r="O202" s="173">
        <v>1524</v>
      </c>
      <c r="P202" s="160">
        <f>SUM(H202:O202)</f>
        <v>14671</v>
      </c>
    </row>
    <row r="203" spans="1:16" ht="17.25" customHeight="1" x14ac:dyDescent="0.25">
      <c r="A203" s="469"/>
      <c r="B203" s="470"/>
      <c r="C203" s="471"/>
      <c r="D203" s="472"/>
      <c r="E203" s="474"/>
      <c r="F203" s="161"/>
      <c r="G203" s="161" t="s">
        <v>411</v>
      </c>
      <c r="H203" s="162">
        <f t="shared" ref="H203:P203" si="65">SUM(H201:H202)</f>
        <v>8650</v>
      </c>
      <c r="I203" s="162">
        <f t="shared" si="65"/>
        <v>10028</v>
      </c>
      <c r="J203" s="162">
        <f t="shared" si="65"/>
        <v>9699</v>
      </c>
      <c r="K203" s="162">
        <f t="shared" si="65"/>
        <v>9379</v>
      </c>
      <c r="L203" s="162">
        <f t="shared" si="65"/>
        <v>9057</v>
      </c>
      <c r="M203" s="162">
        <f t="shared" si="65"/>
        <v>8740</v>
      </c>
      <c r="N203" s="162">
        <f t="shared" si="65"/>
        <v>8414</v>
      </c>
      <c r="O203" s="162">
        <f t="shared" si="65"/>
        <v>21489</v>
      </c>
      <c r="P203" s="162">
        <f t="shared" si="65"/>
        <v>85456</v>
      </c>
    </row>
    <row r="204" spans="1:16" ht="15.75" customHeight="1" x14ac:dyDescent="0.25">
      <c r="A204" s="469">
        <f>A201+1</f>
        <v>66</v>
      </c>
      <c r="B204" s="470" t="s">
        <v>405</v>
      </c>
      <c r="C204" s="481" t="s">
        <v>651</v>
      </c>
      <c r="D204" s="472">
        <v>42989</v>
      </c>
      <c r="E204" s="474" t="s">
        <v>652</v>
      </c>
      <c r="F204" s="167" t="s">
        <v>653</v>
      </c>
      <c r="G204" s="157" t="s">
        <v>409</v>
      </c>
      <c r="H204" s="158">
        <v>4568</v>
      </c>
      <c r="I204" s="158">
        <v>4568</v>
      </c>
      <c r="J204" s="158">
        <v>4568</v>
      </c>
      <c r="K204" s="158">
        <v>4568</v>
      </c>
      <c r="L204" s="158">
        <v>4568</v>
      </c>
      <c r="M204" s="158">
        <v>4568</v>
      </c>
      <c r="N204" s="158">
        <v>4568</v>
      </c>
      <c r="O204" s="158">
        <f>35402</f>
        <v>35402</v>
      </c>
      <c r="P204" s="158">
        <f>SUM(H204:O204)</f>
        <v>67378</v>
      </c>
    </row>
    <row r="205" spans="1:16" ht="14.25" customHeight="1" x14ac:dyDescent="0.25">
      <c r="A205" s="469"/>
      <c r="B205" s="470"/>
      <c r="C205" s="481"/>
      <c r="D205" s="472"/>
      <c r="E205" s="474"/>
      <c r="F205" s="165" t="s">
        <v>654</v>
      </c>
      <c r="G205" s="159" t="s">
        <v>410</v>
      </c>
      <c r="H205" s="160">
        <f>1513+37</f>
        <v>1550</v>
      </c>
      <c r="I205" s="160">
        <f>2597+158</f>
        <v>2755</v>
      </c>
      <c r="J205" s="160">
        <f>2400+145</f>
        <v>2545</v>
      </c>
      <c r="K205" s="160">
        <f>2210+134</f>
        <v>2344</v>
      </c>
      <c r="L205" s="160">
        <f>2019+122</f>
        <v>2141</v>
      </c>
      <c r="M205" s="160">
        <f>1833+111</f>
        <v>1944</v>
      </c>
      <c r="N205" s="173">
        <f>1637+98</f>
        <v>1735</v>
      </c>
      <c r="O205" s="173">
        <v>6620</v>
      </c>
      <c r="P205" s="160">
        <f>SUM(H205:O205)</f>
        <v>21634</v>
      </c>
    </row>
    <row r="206" spans="1:16" ht="14.25" customHeight="1" x14ac:dyDescent="0.25">
      <c r="A206" s="469"/>
      <c r="B206" s="470"/>
      <c r="C206" s="481"/>
      <c r="D206" s="472"/>
      <c r="E206" s="474"/>
      <c r="F206" s="161"/>
      <c r="G206" s="161" t="s">
        <v>411</v>
      </c>
      <c r="H206" s="162">
        <f t="shared" ref="H206:P206" si="66">SUM(H204:H205)</f>
        <v>6118</v>
      </c>
      <c r="I206" s="162">
        <f t="shared" si="66"/>
        <v>7323</v>
      </c>
      <c r="J206" s="162">
        <f t="shared" si="66"/>
        <v>7113</v>
      </c>
      <c r="K206" s="162">
        <f t="shared" si="66"/>
        <v>6912</v>
      </c>
      <c r="L206" s="162">
        <f t="shared" si="66"/>
        <v>6709</v>
      </c>
      <c r="M206" s="162">
        <f t="shared" si="66"/>
        <v>6512</v>
      </c>
      <c r="N206" s="162">
        <f t="shared" si="66"/>
        <v>6303</v>
      </c>
      <c r="O206" s="162">
        <f t="shared" si="66"/>
        <v>42022</v>
      </c>
      <c r="P206" s="162">
        <f t="shared" si="66"/>
        <v>89012</v>
      </c>
    </row>
    <row r="207" spans="1:16" ht="18.600000000000001" customHeight="1" x14ac:dyDescent="0.25">
      <c r="A207" s="469">
        <f>A204+1</f>
        <v>67</v>
      </c>
      <c r="B207" s="470" t="s">
        <v>405</v>
      </c>
      <c r="C207" s="471" t="s">
        <v>655</v>
      </c>
      <c r="D207" s="472">
        <v>42993</v>
      </c>
      <c r="E207" s="488" t="s">
        <v>435</v>
      </c>
      <c r="F207" s="167" t="s">
        <v>656</v>
      </c>
      <c r="G207" s="157" t="s">
        <v>409</v>
      </c>
      <c r="H207" s="158">
        <v>4788</v>
      </c>
      <c r="I207" s="158">
        <v>4788</v>
      </c>
      <c r="J207" s="158">
        <v>4788</v>
      </c>
      <c r="K207" s="158">
        <v>4788</v>
      </c>
      <c r="L207" s="158">
        <v>3591</v>
      </c>
      <c r="M207" s="158">
        <v>0</v>
      </c>
      <c r="N207" s="158">
        <v>0</v>
      </c>
      <c r="O207" s="164">
        <v>0</v>
      </c>
      <c r="P207" s="158">
        <f>SUM(H207:O207)</f>
        <v>22743</v>
      </c>
    </row>
    <row r="208" spans="1:16" ht="15" customHeight="1" x14ac:dyDescent="0.25">
      <c r="A208" s="469"/>
      <c r="B208" s="470"/>
      <c r="C208" s="471"/>
      <c r="D208" s="472"/>
      <c r="E208" s="488"/>
      <c r="F208" s="165" t="s">
        <v>657</v>
      </c>
      <c r="G208" s="159" t="s">
        <v>410</v>
      </c>
      <c r="H208" s="160">
        <f>517+8</f>
        <v>525</v>
      </c>
      <c r="I208" s="160">
        <f>720+43</f>
        <v>763</v>
      </c>
      <c r="J208" s="160">
        <f>518+31</f>
        <v>549</v>
      </c>
      <c r="K208" s="160">
        <f>319+19</f>
        <v>338</v>
      </c>
      <c r="L208" s="160">
        <f>119+7</f>
        <v>126</v>
      </c>
      <c r="M208" s="160">
        <v>0</v>
      </c>
      <c r="N208" s="160">
        <v>0</v>
      </c>
      <c r="O208" s="166">
        <v>0</v>
      </c>
      <c r="P208" s="160">
        <f>SUM(H208:O208)</f>
        <v>2301</v>
      </c>
    </row>
    <row r="209" spans="1:16" ht="15" customHeight="1" x14ac:dyDescent="0.25">
      <c r="A209" s="469"/>
      <c r="B209" s="470"/>
      <c r="C209" s="471"/>
      <c r="D209" s="472"/>
      <c r="E209" s="488"/>
      <c r="F209" s="161"/>
      <c r="G209" s="161" t="s">
        <v>411</v>
      </c>
      <c r="H209" s="162">
        <f t="shared" ref="H209:P209" si="67">SUM(H207:H208)</f>
        <v>5313</v>
      </c>
      <c r="I209" s="162">
        <f t="shared" si="67"/>
        <v>5551</v>
      </c>
      <c r="J209" s="162">
        <f t="shared" si="67"/>
        <v>5337</v>
      </c>
      <c r="K209" s="162">
        <f t="shared" si="67"/>
        <v>5126</v>
      </c>
      <c r="L209" s="162">
        <f t="shared" si="67"/>
        <v>3717</v>
      </c>
      <c r="M209" s="162">
        <f t="shared" si="67"/>
        <v>0</v>
      </c>
      <c r="N209" s="162">
        <f t="shared" si="67"/>
        <v>0</v>
      </c>
      <c r="O209" s="162">
        <f t="shared" si="67"/>
        <v>0</v>
      </c>
      <c r="P209" s="162">
        <f t="shared" si="67"/>
        <v>25044</v>
      </c>
    </row>
    <row r="210" spans="1:16" ht="15" customHeight="1" x14ac:dyDescent="0.25">
      <c r="A210" s="469">
        <f>A207+1</f>
        <v>68</v>
      </c>
      <c r="B210" s="470" t="s">
        <v>405</v>
      </c>
      <c r="C210" s="471" t="s">
        <v>658</v>
      </c>
      <c r="D210" s="472">
        <v>43012</v>
      </c>
      <c r="E210" s="474" t="s">
        <v>435</v>
      </c>
      <c r="F210" s="167" t="s">
        <v>659</v>
      </c>
      <c r="G210" s="157" t="s">
        <v>409</v>
      </c>
      <c r="H210" s="158">
        <v>4228</v>
      </c>
      <c r="I210" s="158">
        <v>4228</v>
      </c>
      <c r="J210" s="158">
        <v>4228</v>
      </c>
      <c r="K210" s="158">
        <v>4228</v>
      </c>
      <c r="L210" s="158">
        <v>3171</v>
      </c>
      <c r="M210" s="158">
        <v>0</v>
      </c>
      <c r="N210" s="158">
        <v>0</v>
      </c>
      <c r="O210" s="164">
        <v>0</v>
      </c>
      <c r="P210" s="158">
        <f>SUM(H210:O210)</f>
        <v>20083</v>
      </c>
    </row>
    <row r="211" spans="1:16" ht="15" customHeight="1" x14ac:dyDescent="0.25">
      <c r="A211" s="469"/>
      <c r="B211" s="470"/>
      <c r="C211" s="471"/>
      <c r="D211" s="472"/>
      <c r="E211" s="474"/>
      <c r="F211" s="165" t="s">
        <v>660</v>
      </c>
      <c r="G211" s="159" t="s">
        <v>410</v>
      </c>
      <c r="H211" s="160">
        <v>562</v>
      </c>
      <c r="I211" s="160">
        <f>634+39</f>
        <v>673</v>
      </c>
      <c r="J211" s="160">
        <f>457+28</f>
        <v>485</v>
      </c>
      <c r="K211" s="160">
        <f>281+17</f>
        <v>298</v>
      </c>
      <c r="L211" s="160">
        <f>105+6</f>
        <v>111</v>
      </c>
      <c r="M211" s="160">
        <v>0</v>
      </c>
      <c r="N211" s="160">
        <v>0</v>
      </c>
      <c r="O211" s="166">
        <v>0</v>
      </c>
      <c r="P211" s="160">
        <f>SUM(H211:O211)</f>
        <v>2129</v>
      </c>
    </row>
    <row r="212" spans="1:16" ht="15" customHeight="1" x14ac:dyDescent="0.25">
      <c r="A212" s="469"/>
      <c r="B212" s="470"/>
      <c r="C212" s="471"/>
      <c r="D212" s="472"/>
      <c r="E212" s="474"/>
      <c r="F212" s="161"/>
      <c r="G212" s="161" t="s">
        <v>411</v>
      </c>
      <c r="H212" s="162">
        <f t="shared" ref="H212:P212" si="68">SUM(H210:H211)</f>
        <v>4790</v>
      </c>
      <c r="I212" s="162">
        <f t="shared" si="68"/>
        <v>4901</v>
      </c>
      <c r="J212" s="162">
        <f t="shared" si="68"/>
        <v>4713</v>
      </c>
      <c r="K212" s="162">
        <f t="shared" si="68"/>
        <v>4526</v>
      </c>
      <c r="L212" s="162">
        <f t="shared" si="68"/>
        <v>3282</v>
      </c>
      <c r="M212" s="162">
        <f t="shared" si="68"/>
        <v>0</v>
      </c>
      <c r="N212" s="162">
        <f t="shared" si="68"/>
        <v>0</v>
      </c>
      <c r="O212" s="162">
        <f t="shared" si="68"/>
        <v>0</v>
      </c>
      <c r="P212" s="162">
        <f t="shared" si="68"/>
        <v>22212</v>
      </c>
    </row>
    <row r="213" spans="1:16" ht="15" customHeight="1" x14ac:dyDescent="0.25">
      <c r="A213" s="469">
        <f>A210+1</f>
        <v>69</v>
      </c>
      <c r="B213" s="470" t="s">
        <v>405</v>
      </c>
      <c r="C213" s="471" t="s">
        <v>661</v>
      </c>
      <c r="D213" s="472">
        <v>43020</v>
      </c>
      <c r="E213" s="474" t="s">
        <v>435</v>
      </c>
      <c r="F213" s="167" t="s">
        <v>662</v>
      </c>
      <c r="G213" s="157" t="s">
        <v>409</v>
      </c>
      <c r="H213" s="158">
        <v>19960</v>
      </c>
      <c r="I213" s="158">
        <v>19960</v>
      </c>
      <c r="J213" s="158">
        <v>19960</v>
      </c>
      <c r="K213" s="158">
        <v>19960</v>
      </c>
      <c r="L213" s="158">
        <v>14302</v>
      </c>
      <c r="M213" s="158">
        <v>0</v>
      </c>
      <c r="N213" s="158">
        <v>0</v>
      </c>
      <c r="O213" s="164">
        <v>0</v>
      </c>
      <c r="P213" s="158">
        <f>SUM(H213:O213)</f>
        <v>94142</v>
      </c>
    </row>
    <row r="214" spans="1:16" ht="15" customHeight="1" x14ac:dyDescent="0.25">
      <c r="A214" s="469"/>
      <c r="B214" s="470"/>
      <c r="C214" s="471"/>
      <c r="D214" s="472"/>
      <c r="E214" s="474"/>
      <c r="F214" s="165" t="s">
        <v>663</v>
      </c>
      <c r="G214" s="159" t="s">
        <v>410</v>
      </c>
      <c r="H214" s="160">
        <v>2449</v>
      </c>
      <c r="I214" s="160">
        <f>2940+180</f>
        <v>3120</v>
      </c>
      <c r="J214" s="160">
        <f>2132+130</f>
        <v>2262</v>
      </c>
      <c r="K214" s="160">
        <f>1301+79</f>
        <v>1380</v>
      </c>
      <c r="L214" s="160">
        <f>469+28</f>
        <v>497</v>
      </c>
      <c r="M214" s="160">
        <v>0</v>
      </c>
      <c r="N214" s="160">
        <v>0</v>
      </c>
      <c r="O214" s="166">
        <v>0</v>
      </c>
      <c r="P214" s="160">
        <f>SUM(H214:O214)</f>
        <v>9708</v>
      </c>
    </row>
    <row r="215" spans="1:16" ht="15" customHeight="1" x14ac:dyDescent="0.25">
      <c r="A215" s="469"/>
      <c r="B215" s="482"/>
      <c r="C215" s="484"/>
      <c r="D215" s="475"/>
      <c r="E215" s="478"/>
      <c r="F215" s="168"/>
      <c r="G215" s="168" t="s">
        <v>411</v>
      </c>
      <c r="H215" s="162">
        <f t="shared" ref="H215:P215" si="69">SUM(H213:H214)</f>
        <v>22409</v>
      </c>
      <c r="I215" s="162">
        <f t="shared" si="69"/>
        <v>23080</v>
      </c>
      <c r="J215" s="162">
        <f t="shared" si="69"/>
        <v>22222</v>
      </c>
      <c r="K215" s="162">
        <f t="shared" si="69"/>
        <v>21340</v>
      </c>
      <c r="L215" s="162">
        <f t="shared" si="69"/>
        <v>14799</v>
      </c>
      <c r="M215" s="162">
        <f t="shared" si="69"/>
        <v>0</v>
      </c>
      <c r="N215" s="162">
        <f t="shared" si="69"/>
        <v>0</v>
      </c>
      <c r="O215" s="162">
        <f t="shared" si="69"/>
        <v>0</v>
      </c>
      <c r="P215" s="162">
        <f t="shared" si="69"/>
        <v>103850</v>
      </c>
    </row>
    <row r="216" spans="1:16" ht="15" customHeight="1" x14ac:dyDescent="0.25">
      <c r="A216" s="469">
        <f>A213+1</f>
        <v>70</v>
      </c>
      <c r="B216" s="470" t="s">
        <v>405</v>
      </c>
      <c r="C216" s="471" t="s">
        <v>664</v>
      </c>
      <c r="D216" s="472">
        <v>43027</v>
      </c>
      <c r="E216" s="474" t="s">
        <v>665</v>
      </c>
      <c r="F216" s="167" t="s">
        <v>666</v>
      </c>
      <c r="G216" s="157" t="s">
        <v>409</v>
      </c>
      <c r="H216" s="158">
        <v>6192</v>
      </c>
      <c r="I216" s="158">
        <v>6192</v>
      </c>
      <c r="J216" s="158">
        <v>6192</v>
      </c>
      <c r="K216" s="158">
        <v>6192</v>
      </c>
      <c r="L216" s="158">
        <v>6192</v>
      </c>
      <c r="M216" s="158">
        <v>6192</v>
      </c>
      <c r="N216" s="158">
        <v>6192</v>
      </c>
      <c r="O216" s="158">
        <v>18576</v>
      </c>
      <c r="P216" s="158">
        <f>SUM(H216:O216)</f>
        <v>61920</v>
      </c>
    </row>
    <row r="217" spans="1:16" ht="15" customHeight="1" x14ac:dyDescent="0.25">
      <c r="A217" s="469"/>
      <c r="B217" s="470"/>
      <c r="C217" s="471"/>
      <c r="D217" s="472"/>
      <c r="E217" s="474"/>
      <c r="F217" s="165" t="s">
        <v>667</v>
      </c>
      <c r="G217" s="159" t="s">
        <v>410</v>
      </c>
      <c r="H217" s="160">
        <f>1725</f>
        <v>1725</v>
      </c>
      <c r="I217" s="160">
        <f>2249+139</f>
        <v>2388</v>
      </c>
      <c r="J217" s="160">
        <f>2026+123</f>
        <v>2149</v>
      </c>
      <c r="K217" s="160">
        <f>1768+107</f>
        <v>1875</v>
      </c>
      <c r="L217" s="160">
        <f>1509+92</f>
        <v>1601</v>
      </c>
      <c r="M217" s="160">
        <f>1254+76</f>
        <v>1330</v>
      </c>
      <c r="N217" s="173">
        <f>993+60</f>
        <v>1053</v>
      </c>
      <c r="O217" s="173">
        <v>1521</v>
      </c>
      <c r="P217" s="160">
        <f>SUM(H217:O217)</f>
        <v>13642</v>
      </c>
    </row>
    <row r="218" spans="1:16" ht="15" customHeight="1" x14ac:dyDescent="0.25">
      <c r="A218" s="469"/>
      <c r="B218" s="470"/>
      <c r="C218" s="471"/>
      <c r="D218" s="472"/>
      <c r="E218" s="474"/>
      <c r="F218" s="161"/>
      <c r="G218" s="161" t="s">
        <v>411</v>
      </c>
      <c r="H218" s="162">
        <f t="shared" ref="H218:P218" si="70">SUM(H216:H217)</f>
        <v>7917</v>
      </c>
      <c r="I218" s="162">
        <f t="shared" si="70"/>
        <v>8580</v>
      </c>
      <c r="J218" s="162">
        <f t="shared" si="70"/>
        <v>8341</v>
      </c>
      <c r="K218" s="162">
        <f t="shared" si="70"/>
        <v>8067</v>
      </c>
      <c r="L218" s="162">
        <f t="shared" si="70"/>
        <v>7793</v>
      </c>
      <c r="M218" s="162">
        <f t="shared" si="70"/>
        <v>7522</v>
      </c>
      <c r="N218" s="162">
        <f t="shared" si="70"/>
        <v>7245</v>
      </c>
      <c r="O218" s="162">
        <f t="shared" si="70"/>
        <v>20097</v>
      </c>
      <c r="P218" s="162">
        <f t="shared" si="70"/>
        <v>75562</v>
      </c>
    </row>
    <row r="219" spans="1:16" ht="13.5" customHeight="1" x14ac:dyDescent="0.25">
      <c r="A219" s="469">
        <f>A216+1</f>
        <v>71</v>
      </c>
      <c r="B219" s="470" t="s">
        <v>405</v>
      </c>
      <c r="C219" s="471" t="s">
        <v>668</v>
      </c>
      <c r="D219" s="472">
        <v>43042</v>
      </c>
      <c r="E219" s="474" t="s">
        <v>665</v>
      </c>
      <c r="F219" s="167" t="s">
        <v>669</v>
      </c>
      <c r="G219" s="157" t="s">
        <v>409</v>
      </c>
      <c r="H219" s="158">
        <v>20000</v>
      </c>
      <c r="I219" s="158">
        <v>20000</v>
      </c>
      <c r="J219" s="158">
        <v>20000</v>
      </c>
      <c r="K219" s="158">
        <v>20000</v>
      </c>
      <c r="L219" s="158">
        <v>20000</v>
      </c>
      <c r="M219" s="158">
        <v>20000</v>
      </c>
      <c r="N219" s="158">
        <v>20000</v>
      </c>
      <c r="O219" s="158">
        <f>60000</f>
        <v>60000</v>
      </c>
      <c r="P219" s="158">
        <f>SUM(H219:O219)</f>
        <v>200000</v>
      </c>
    </row>
    <row r="220" spans="1:16" ht="13.5" customHeight="1" x14ac:dyDescent="0.25">
      <c r="A220" s="469"/>
      <c r="B220" s="470"/>
      <c r="C220" s="471"/>
      <c r="D220" s="472"/>
      <c r="E220" s="474"/>
      <c r="F220" s="165" t="s">
        <v>670</v>
      </c>
      <c r="G220" s="159" t="s">
        <v>410</v>
      </c>
      <c r="H220" s="160">
        <v>5686</v>
      </c>
      <c r="I220" s="160">
        <f>7202+450</f>
        <v>7652</v>
      </c>
      <c r="J220" s="160">
        <f>6544+398</f>
        <v>6942</v>
      </c>
      <c r="K220" s="160">
        <f>5711+347</f>
        <v>6058</v>
      </c>
      <c r="L220" s="160">
        <f>4877+296</f>
        <v>5173</v>
      </c>
      <c r="M220" s="160">
        <f>4051+246</f>
        <v>4297</v>
      </c>
      <c r="N220" s="173">
        <f>3206+195</f>
        <v>3401</v>
      </c>
      <c r="O220" s="173">
        <v>4911</v>
      </c>
      <c r="P220" s="160">
        <f>SUM(H220:O220)</f>
        <v>44120</v>
      </c>
    </row>
    <row r="221" spans="1:16" ht="13.5" customHeight="1" x14ac:dyDescent="0.25">
      <c r="A221" s="469"/>
      <c r="B221" s="470"/>
      <c r="C221" s="471"/>
      <c r="D221" s="472"/>
      <c r="E221" s="474"/>
      <c r="F221" s="161"/>
      <c r="G221" s="161" t="s">
        <v>411</v>
      </c>
      <c r="H221" s="162">
        <f t="shared" ref="H221:P221" si="71">SUM(H219:H220)</f>
        <v>25686</v>
      </c>
      <c r="I221" s="162">
        <f t="shared" si="71"/>
        <v>27652</v>
      </c>
      <c r="J221" s="162">
        <f t="shared" si="71"/>
        <v>26942</v>
      </c>
      <c r="K221" s="162">
        <f t="shared" si="71"/>
        <v>26058</v>
      </c>
      <c r="L221" s="162">
        <f t="shared" si="71"/>
        <v>25173</v>
      </c>
      <c r="M221" s="162">
        <f t="shared" si="71"/>
        <v>24297</v>
      </c>
      <c r="N221" s="162">
        <f t="shared" si="71"/>
        <v>23401</v>
      </c>
      <c r="O221" s="162">
        <f t="shared" si="71"/>
        <v>64911</v>
      </c>
      <c r="P221" s="162">
        <f t="shared" si="71"/>
        <v>244120</v>
      </c>
    </row>
    <row r="222" spans="1:16" ht="13.5" customHeight="1" x14ac:dyDescent="0.25">
      <c r="A222" s="469">
        <f>A219+1</f>
        <v>72</v>
      </c>
      <c r="B222" s="470" t="s">
        <v>405</v>
      </c>
      <c r="C222" s="471" t="s">
        <v>671</v>
      </c>
      <c r="D222" s="472">
        <v>43089</v>
      </c>
      <c r="E222" s="474" t="s">
        <v>672</v>
      </c>
      <c r="F222" s="167" t="s">
        <v>673</v>
      </c>
      <c r="G222" s="157" t="s">
        <v>409</v>
      </c>
      <c r="H222" s="158">
        <v>33396</v>
      </c>
      <c r="I222" s="158">
        <v>33396</v>
      </c>
      <c r="J222" s="158">
        <v>33396</v>
      </c>
      <c r="K222" s="158">
        <v>33396</v>
      </c>
      <c r="L222" s="158">
        <v>33396</v>
      </c>
      <c r="M222" s="158">
        <v>33396</v>
      </c>
      <c r="N222" s="158">
        <v>33396</v>
      </c>
      <c r="O222" s="158">
        <f>434148</f>
        <v>434148</v>
      </c>
      <c r="P222" s="158">
        <f>SUM(H222:O222)</f>
        <v>667920</v>
      </c>
    </row>
    <row r="223" spans="1:16" ht="13.5" customHeight="1" x14ac:dyDescent="0.25">
      <c r="A223" s="469"/>
      <c r="B223" s="470"/>
      <c r="C223" s="471"/>
      <c r="D223" s="472"/>
      <c r="E223" s="474"/>
      <c r="F223" s="165" t="s">
        <v>674</v>
      </c>
      <c r="G223" s="159" t="s">
        <v>410</v>
      </c>
      <c r="H223" s="160">
        <v>16688</v>
      </c>
      <c r="I223" s="160">
        <f>24561+1599</f>
        <v>26160</v>
      </c>
      <c r="J223" s="160">
        <f>24857+1510</f>
        <v>26367</v>
      </c>
      <c r="K223" s="160">
        <f>23467+1426</f>
        <v>24893</v>
      </c>
      <c r="L223" s="160">
        <f>22073+1341</f>
        <v>23414</v>
      </c>
      <c r="M223" s="160">
        <f>20734+1260</f>
        <v>21994</v>
      </c>
      <c r="N223" s="173">
        <f>19283+1172</f>
        <v>20455</v>
      </c>
      <c r="O223" s="173">
        <v>131642</v>
      </c>
      <c r="P223" s="160">
        <f>SUM(H223:O223)</f>
        <v>291613</v>
      </c>
    </row>
    <row r="224" spans="1:16" ht="13.5" customHeight="1" x14ac:dyDescent="0.25">
      <c r="A224" s="469"/>
      <c r="B224" s="470"/>
      <c r="C224" s="471"/>
      <c r="D224" s="472"/>
      <c r="E224" s="474"/>
      <c r="F224" s="161"/>
      <c r="G224" s="161" t="s">
        <v>411</v>
      </c>
      <c r="H224" s="162">
        <f t="shared" ref="H224:P224" si="72">SUM(H222:H223)</f>
        <v>50084</v>
      </c>
      <c r="I224" s="162">
        <f t="shared" si="72"/>
        <v>59556</v>
      </c>
      <c r="J224" s="162">
        <f t="shared" si="72"/>
        <v>59763</v>
      </c>
      <c r="K224" s="162">
        <f t="shared" si="72"/>
        <v>58289</v>
      </c>
      <c r="L224" s="162">
        <f t="shared" si="72"/>
        <v>56810</v>
      </c>
      <c r="M224" s="162">
        <f t="shared" si="72"/>
        <v>55390</v>
      </c>
      <c r="N224" s="162">
        <f t="shared" si="72"/>
        <v>53851</v>
      </c>
      <c r="O224" s="162">
        <f t="shared" si="72"/>
        <v>565790</v>
      </c>
      <c r="P224" s="162">
        <f t="shared" si="72"/>
        <v>959533</v>
      </c>
    </row>
    <row r="225" spans="1:16" ht="13.5" customHeight="1" x14ac:dyDescent="0.25">
      <c r="A225" s="469">
        <f>A222+1</f>
        <v>73</v>
      </c>
      <c r="B225" s="470" t="s">
        <v>405</v>
      </c>
      <c r="C225" s="471" t="s">
        <v>675</v>
      </c>
      <c r="D225" s="472">
        <v>43167</v>
      </c>
      <c r="E225" s="474" t="s">
        <v>447</v>
      </c>
      <c r="F225" s="167" t="s">
        <v>676</v>
      </c>
      <c r="G225" s="157" t="s">
        <v>409</v>
      </c>
      <c r="H225" s="158">
        <v>17392</v>
      </c>
      <c r="I225" s="164">
        <v>0</v>
      </c>
      <c r="J225" s="164">
        <v>0</v>
      </c>
      <c r="K225" s="164">
        <v>0</v>
      </c>
      <c r="L225" s="164">
        <v>0</v>
      </c>
      <c r="M225" s="164">
        <v>0</v>
      </c>
      <c r="N225" s="164">
        <v>0</v>
      </c>
      <c r="O225" s="164">
        <v>0</v>
      </c>
      <c r="P225" s="158">
        <f>SUM(H225:O225)</f>
        <v>17392</v>
      </c>
    </row>
    <row r="226" spans="1:16" ht="13.5" customHeight="1" x14ac:dyDescent="0.25">
      <c r="A226" s="469"/>
      <c r="B226" s="470"/>
      <c r="C226" s="471"/>
      <c r="D226" s="472"/>
      <c r="E226" s="474"/>
      <c r="F226" s="165" t="s">
        <v>677</v>
      </c>
      <c r="G226" s="159" t="s">
        <v>410</v>
      </c>
      <c r="H226" s="160">
        <v>27</v>
      </c>
      <c r="I226" s="166">
        <v>0</v>
      </c>
      <c r="J226" s="166">
        <v>0</v>
      </c>
      <c r="K226" s="166">
        <v>0</v>
      </c>
      <c r="L226" s="166">
        <v>0</v>
      </c>
      <c r="M226" s="166">
        <v>0</v>
      </c>
      <c r="N226" s="166">
        <v>0</v>
      </c>
      <c r="O226" s="166">
        <v>0</v>
      </c>
      <c r="P226" s="160">
        <f>SUM(H226:O226)</f>
        <v>27</v>
      </c>
    </row>
    <row r="227" spans="1:16" ht="13.5" customHeight="1" x14ac:dyDescent="0.25">
      <c r="A227" s="469"/>
      <c r="B227" s="470"/>
      <c r="C227" s="471"/>
      <c r="D227" s="472"/>
      <c r="E227" s="474"/>
      <c r="F227" s="161"/>
      <c r="G227" s="161" t="s">
        <v>411</v>
      </c>
      <c r="H227" s="162">
        <f t="shared" ref="H227:P227" si="73">SUM(H225:H226)</f>
        <v>17419</v>
      </c>
      <c r="I227" s="162">
        <f t="shared" si="73"/>
        <v>0</v>
      </c>
      <c r="J227" s="162">
        <f t="shared" si="73"/>
        <v>0</v>
      </c>
      <c r="K227" s="162">
        <f t="shared" si="73"/>
        <v>0</v>
      </c>
      <c r="L227" s="162">
        <f t="shared" si="73"/>
        <v>0</v>
      </c>
      <c r="M227" s="162">
        <f t="shared" si="73"/>
        <v>0</v>
      </c>
      <c r="N227" s="162">
        <f>SUM(N225:N226)</f>
        <v>0</v>
      </c>
      <c r="O227" s="162">
        <f t="shared" si="73"/>
        <v>0</v>
      </c>
      <c r="P227" s="162">
        <f t="shared" si="73"/>
        <v>17419</v>
      </c>
    </row>
    <row r="228" spans="1:16" ht="13.5" customHeight="1" x14ac:dyDescent="0.25">
      <c r="A228" s="469">
        <f>A225+1</f>
        <v>74</v>
      </c>
      <c r="B228" s="470" t="s">
        <v>405</v>
      </c>
      <c r="C228" s="481" t="s">
        <v>678</v>
      </c>
      <c r="D228" s="472">
        <v>43167</v>
      </c>
      <c r="E228" s="474" t="s">
        <v>679</v>
      </c>
      <c r="F228" s="167" t="s">
        <v>680</v>
      </c>
      <c r="G228" s="157" t="s">
        <v>409</v>
      </c>
      <c r="H228" s="158">
        <v>36296</v>
      </c>
      <c r="I228" s="158">
        <v>36296</v>
      </c>
      <c r="J228" s="158">
        <v>36296</v>
      </c>
      <c r="K228" s="158">
        <v>36296</v>
      </c>
      <c r="L228" s="158">
        <v>36296</v>
      </c>
      <c r="M228" s="158">
        <v>36296</v>
      </c>
      <c r="N228" s="158">
        <v>36296</v>
      </c>
      <c r="O228" s="158">
        <f>480922</f>
        <v>480922</v>
      </c>
      <c r="P228" s="158">
        <f>SUM(H228:O228)</f>
        <v>734994</v>
      </c>
    </row>
    <row r="229" spans="1:16" ht="13.5" customHeight="1" x14ac:dyDescent="0.25">
      <c r="A229" s="469"/>
      <c r="B229" s="470"/>
      <c r="C229" s="471"/>
      <c r="D229" s="472"/>
      <c r="E229" s="474"/>
      <c r="F229" s="165" t="s">
        <v>681</v>
      </c>
      <c r="G229" s="159" t="s">
        <v>410</v>
      </c>
      <c r="H229" s="160">
        <f>15568+2230</f>
        <v>17798</v>
      </c>
      <c r="I229" s="160">
        <f>28097+1761</f>
        <v>29858</v>
      </c>
      <c r="J229" s="160">
        <f>27394+1664</f>
        <v>29058</v>
      </c>
      <c r="K229" s="160">
        <f>25883+1573</f>
        <v>27456</v>
      </c>
      <c r="L229" s="160">
        <f>24368+1481</f>
        <v>25849</v>
      </c>
      <c r="M229" s="160">
        <f>22914+1392</f>
        <v>24306</v>
      </c>
      <c r="N229" s="173">
        <f>21336+1296</f>
        <v>22632</v>
      </c>
      <c r="O229" s="173">
        <v>148453</v>
      </c>
      <c r="P229" s="160">
        <f>SUM(H229:O229)</f>
        <v>325410</v>
      </c>
    </row>
    <row r="230" spans="1:16" ht="13.5" customHeight="1" x14ac:dyDescent="0.25">
      <c r="A230" s="469"/>
      <c r="B230" s="470"/>
      <c r="C230" s="471"/>
      <c r="D230" s="472"/>
      <c r="E230" s="474"/>
      <c r="F230" s="161"/>
      <c r="G230" s="161" t="s">
        <v>411</v>
      </c>
      <c r="H230" s="162">
        <f t="shared" ref="H230:P230" si="74">SUM(H228:H229)</f>
        <v>54094</v>
      </c>
      <c r="I230" s="162">
        <f t="shared" si="74"/>
        <v>66154</v>
      </c>
      <c r="J230" s="162">
        <f t="shared" si="74"/>
        <v>65354</v>
      </c>
      <c r="K230" s="162">
        <f t="shared" si="74"/>
        <v>63752</v>
      </c>
      <c r="L230" s="162">
        <f t="shared" si="74"/>
        <v>62145</v>
      </c>
      <c r="M230" s="162">
        <f t="shared" si="74"/>
        <v>60602</v>
      </c>
      <c r="N230" s="162">
        <f>SUM(N228:N229)</f>
        <v>58928</v>
      </c>
      <c r="O230" s="162">
        <f t="shared" si="74"/>
        <v>629375</v>
      </c>
      <c r="P230" s="162">
        <f t="shared" si="74"/>
        <v>1060404</v>
      </c>
    </row>
    <row r="231" spans="1:16" ht="13.5" customHeight="1" x14ac:dyDescent="0.25">
      <c r="A231" s="469">
        <f>A228+1</f>
        <v>75</v>
      </c>
      <c r="B231" s="470" t="s">
        <v>405</v>
      </c>
      <c r="C231" s="481" t="s">
        <v>682</v>
      </c>
      <c r="D231" s="472">
        <v>43255</v>
      </c>
      <c r="E231" s="474" t="s">
        <v>683</v>
      </c>
      <c r="F231" s="167" t="s">
        <v>684</v>
      </c>
      <c r="G231" s="157" t="s">
        <v>409</v>
      </c>
      <c r="H231" s="158">
        <v>65820</v>
      </c>
      <c r="I231" s="158">
        <v>65820</v>
      </c>
      <c r="J231" s="158">
        <v>65820</v>
      </c>
      <c r="K231" s="158">
        <v>65820</v>
      </c>
      <c r="L231" s="158">
        <v>65820</v>
      </c>
      <c r="M231" s="158">
        <v>65820</v>
      </c>
      <c r="N231" s="158">
        <v>65820</v>
      </c>
      <c r="O231" s="158">
        <f>888570</f>
        <v>888570</v>
      </c>
      <c r="P231" s="158">
        <f>SUM(H231:O231)</f>
        <v>1349310</v>
      </c>
    </row>
    <row r="232" spans="1:16" ht="13.5" customHeight="1" x14ac:dyDescent="0.25">
      <c r="A232" s="469"/>
      <c r="B232" s="470"/>
      <c r="C232" s="471"/>
      <c r="D232" s="472"/>
      <c r="E232" s="474"/>
      <c r="F232" s="165" t="s">
        <v>685</v>
      </c>
      <c r="G232" s="159" t="s">
        <v>410</v>
      </c>
      <c r="H232" s="160">
        <f>24461+2760</f>
        <v>27221</v>
      </c>
      <c r="I232" s="160">
        <f>51432+3236</f>
        <v>54668</v>
      </c>
      <c r="J232" s="160">
        <f>50364+3060</f>
        <v>53424</v>
      </c>
      <c r="K232" s="160">
        <f>47624+2894</f>
        <v>50518</v>
      </c>
      <c r="L232" s="160">
        <f>44877+2727</f>
        <v>47604</v>
      </c>
      <c r="M232" s="160">
        <f>42240+2566</f>
        <v>44806</v>
      </c>
      <c r="N232" s="173">
        <f>39378+2393</f>
        <v>41771</v>
      </c>
      <c r="O232" s="173">
        <v>279196</v>
      </c>
      <c r="P232" s="160">
        <f>SUM(H232:O232)</f>
        <v>599208</v>
      </c>
    </row>
    <row r="233" spans="1:16" ht="13.5" customHeight="1" x14ac:dyDescent="0.25">
      <c r="A233" s="469"/>
      <c r="B233" s="470"/>
      <c r="C233" s="471"/>
      <c r="D233" s="472"/>
      <c r="E233" s="474"/>
      <c r="F233" s="161"/>
      <c r="G233" s="161" t="s">
        <v>411</v>
      </c>
      <c r="H233" s="162">
        <f t="shared" ref="H233:P233" si="75">SUM(H231:H232)</f>
        <v>93041</v>
      </c>
      <c r="I233" s="162">
        <f t="shared" si="75"/>
        <v>120488</v>
      </c>
      <c r="J233" s="162">
        <f t="shared" si="75"/>
        <v>119244</v>
      </c>
      <c r="K233" s="162">
        <f t="shared" si="75"/>
        <v>116338</v>
      </c>
      <c r="L233" s="162">
        <f t="shared" si="75"/>
        <v>113424</v>
      </c>
      <c r="M233" s="162">
        <f t="shared" si="75"/>
        <v>110626</v>
      </c>
      <c r="N233" s="162">
        <f t="shared" si="75"/>
        <v>107591</v>
      </c>
      <c r="O233" s="162">
        <f t="shared" si="75"/>
        <v>1167766</v>
      </c>
      <c r="P233" s="162">
        <f t="shared" si="75"/>
        <v>1948518</v>
      </c>
    </row>
    <row r="234" spans="1:16" ht="13.5" customHeight="1" x14ac:dyDescent="0.25">
      <c r="A234" s="469">
        <f>A231+1</f>
        <v>76</v>
      </c>
      <c r="B234" s="470" t="s">
        <v>405</v>
      </c>
      <c r="C234" s="471" t="s">
        <v>640</v>
      </c>
      <c r="D234" s="472">
        <v>43285</v>
      </c>
      <c r="E234" s="474" t="s">
        <v>686</v>
      </c>
      <c r="F234" s="167" t="s">
        <v>687</v>
      </c>
      <c r="G234" s="157" t="s">
        <v>409</v>
      </c>
      <c r="H234" s="158">
        <v>10552</v>
      </c>
      <c r="I234" s="158">
        <v>10552</v>
      </c>
      <c r="J234" s="158">
        <v>10552</v>
      </c>
      <c r="K234" s="158">
        <v>10552</v>
      </c>
      <c r="L234" s="158">
        <v>10552</v>
      </c>
      <c r="M234" s="158">
        <v>10552</v>
      </c>
      <c r="N234" s="158">
        <v>10552</v>
      </c>
      <c r="O234" s="158">
        <f>142452</f>
        <v>142452</v>
      </c>
      <c r="P234" s="158">
        <f>SUM(H234:O234)</f>
        <v>216316</v>
      </c>
    </row>
    <row r="235" spans="1:16" ht="13.5" customHeight="1" x14ac:dyDescent="0.25">
      <c r="A235" s="469"/>
      <c r="B235" s="470"/>
      <c r="C235" s="471"/>
      <c r="D235" s="472"/>
      <c r="E235" s="474"/>
      <c r="F235" s="165" t="s">
        <v>688</v>
      </c>
      <c r="G235" s="159" t="s">
        <v>410</v>
      </c>
      <c r="H235" s="160">
        <f>4487+436</f>
        <v>4923</v>
      </c>
      <c r="I235" s="160">
        <f>8548+519</f>
        <v>9067</v>
      </c>
      <c r="J235" s="160">
        <f>8074+491</f>
        <v>8565</v>
      </c>
      <c r="K235" s="160">
        <f>7635+463</f>
        <v>8098</v>
      </c>
      <c r="L235" s="160">
        <f>7194+437</f>
        <v>7631</v>
      </c>
      <c r="M235" s="160">
        <f>6772+411</f>
        <v>7183</v>
      </c>
      <c r="N235" s="173">
        <f>6313+383</f>
        <v>6696</v>
      </c>
      <c r="O235" s="173">
        <v>44770</v>
      </c>
      <c r="P235" s="160">
        <f>SUM(H235:O235)</f>
        <v>96933</v>
      </c>
    </row>
    <row r="236" spans="1:16" ht="13.5" customHeight="1" x14ac:dyDescent="0.25">
      <c r="A236" s="469"/>
      <c r="B236" s="482"/>
      <c r="C236" s="484"/>
      <c r="D236" s="475"/>
      <c r="E236" s="478"/>
      <c r="F236" s="168"/>
      <c r="G236" s="168" t="s">
        <v>411</v>
      </c>
      <c r="H236" s="162">
        <f t="shared" ref="H236:P236" si="76">SUM(H234:H235)</f>
        <v>15475</v>
      </c>
      <c r="I236" s="162">
        <f t="shared" si="76"/>
        <v>19619</v>
      </c>
      <c r="J236" s="162">
        <f t="shared" si="76"/>
        <v>19117</v>
      </c>
      <c r="K236" s="162">
        <f t="shared" si="76"/>
        <v>18650</v>
      </c>
      <c r="L236" s="162">
        <f t="shared" si="76"/>
        <v>18183</v>
      </c>
      <c r="M236" s="162">
        <f t="shared" si="76"/>
        <v>17735</v>
      </c>
      <c r="N236" s="162">
        <f t="shared" si="76"/>
        <v>17248</v>
      </c>
      <c r="O236" s="162">
        <f t="shared" si="76"/>
        <v>187222</v>
      </c>
      <c r="P236" s="162">
        <f t="shared" si="76"/>
        <v>313249</v>
      </c>
    </row>
    <row r="237" spans="1:16" ht="15" customHeight="1" x14ac:dyDescent="0.25">
      <c r="A237" s="469">
        <f>A234+1</f>
        <v>77</v>
      </c>
      <c r="B237" s="470" t="s">
        <v>405</v>
      </c>
      <c r="C237" s="489" t="s">
        <v>689</v>
      </c>
      <c r="D237" s="472">
        <v>43285</v>
      </c>
      <c r="E237" s="474" t="s">
        <v>690</v>
      </c>
      <c r="F237" s="167" t="s">
        <v>691</v>
      </c>
      <c r="G237" s="157" t="s">
        <v>409</v>
      </c>
      <c r="H237" s="158">
        <v>21820</v>
      </c>
      <c r="I237" s="158">
        <v>21820</v>
      </c>
      <c r="J237" s="158">
        <v>21820</v>
      </c>
      <c r="K237" s="158">
        <v>21820</v>
      </c>
      <c r="L237" s="158">
        <v>21820</v>
      </c>
      <c r="M237" s="158">
        <v>21820</v>
      </c>
      <c r="N237" s="158">
        <v>21820</v>
      </c>
      <c r="O237" s="158">
        <f>185470</f>
        <v>185470</v>
      </c>
      <c r="P237" s="158">
        <f>SUM(H237:O237)</f>
        <v>338210</v>
      </c>
    </row>
    <row r="238" spans="1:16" ht="15" customHeight="1" x14ac:dyDescent="0.25">
      <c r="A238" s="469"/>
      <c r="B238" s="470"/>
      <c r="C238" s="489"/>
      <c r="D238" s="472"/>
      <c r="E238" s="474"/>
      <c r="F238" s="165" t="s">
        <v>692</v>
      </c>
      <c r="G238" s="159" t="s">
        <v>410</v>
      </c>
      <c r="H238" s="160">
        <f>6988+676</f>
        <v>7664</v>
      </c>
      <c r="I238" s="160">
        <f>13102+795</f>
        <v>13897</v>
      </c>
      <c r="J238" s="160">
        <f>12145+738</f>
        <v>12883</v>
      </c>
      <c r="K238" s="160">
        <f>11237+682</f>
        <v>11919</v>
      </c>
      <c r="L238" s="160">
        <f>10326+628</f>
        <v>10954</v>
      </c>
      <c r="M238" s="160">
        <f>9440+573</f>
        <v>10013</v>
      </c>
      <c r="N238" s="173">
        <f>8503+517</f>
        <v>9020</v>
      </c>
      <c r="O238" s="173">
        <f>37619</f>
        <v>37619</v>
      </c>
      <c r="P238" s="160">
        <f>SUM(H238:O238)</f>
        <v>113969</v>
      </c>
    </row>
    <row r="239" spans="1:16" ht="15" customHeight="1" x14ac:dyDescent="0.25">
      <c r="A239" s="469"/>
      <c r="B239" s="470"/>
      <c r="C239" s="489"/>
      <c r="D239" s="472"/>
      <c r="E239" s="474"/>
      <c r="F239" s="161"/>
      <c r="G239" s="161" t="s">
        <v>411</v>
      </c>
      <c r="H239" s="162">
        <f t="shared" ref="H239:P239" si="77">SUM(H237:H238)</f>
        <v>29484</v>
      </c>
      <c r="I239" s="162">
        <f t="shared" si="77"/>
        <v>35717</v>
      </c>
      <c r="J239" s="162">
        <f t="shared" si="77"/>
        <v>34703</v>
      </c>
      <c r="K239" s="162">
        <f t="shared" si="77"/>
        <v>33739</v>
      </c>
      <c r="L239" s="162">
        <f t="shared" si="77"/>
        <v>32774</v>
      </c>
      <c r="M239" s="162">
        <f t="shared" si="77"/>
        <v>31833</v>
      </c>
      <c r="N239" s="162">
        <f t="shared" si="77"/>
        <v>30840</v>
      </c>
      <c r="O239" s="162">
        <f t="shared" si="77"/>
        <v>223089</v>
      </c>
      <c r="P239" s="162">
        <f t="shared" si="77"/>
        <v>452179</v>
      </c>
    </row>
    <row r="240" spans="1:16" ht="15" customHeight="1" x14ac:dyDescent="0.25">
      <c r="A240" s="469">
        <f>A237+1</f>
        <v>78</v>
      </c>
      <c r="B240" s="470" t="s">
        <v>405</v>
      </c>
      <c r="C240" s="490" t="s">
        <v>693</v>
      </c>
      <c r="D240" s="472">
        <v>43286</v>
      </c>
      <c r="E240" s="474" t="s">
        <v>508</v>
      </c>
      <c r="F240" s="167" t="s">
        <v>694</v>
      </c>
      <c r="G240" s="157" t="s">
        <v>409</v>
      </c>
      <c r="H240" s="158">
        <v>4250</v>
      </c>
      <c r="I240" s="164">
        <v>0</v>
      </c>
      <c r="J240" s="164">
        <v>0</v>
      </c>
      <c r="K240" s="164">
        <v>0</v>
      </c>
      <c r="L240" s="164">
        <v>0</v>
      </c>
      <c r="M240" s="164">
        <v>0</v>
      </c>
      <c r="N240" s="164">
        <v>0</v>
      </c>
      <c r="O240" s="164">
        <v>0</v>
      </c>
      <c r="P240" s="158">
        <f>SUM(H240:O240)</f>
        <v>4250</v>
      </c>
    </row>
    <row r="241" spans="1:16" ht="15" customHeight="1" x14ac:dyDescent="0.25">
      <c r="A241" s="469"/>
      <c r="B241" s="470"/>
      <c r="C241" s="490"/>
      <c r="D241" s="472"/>
      <c r="E241" s="474"/>
      <c r="F241" s="165" t="s">
        <v>695</v>
      </c>
      <c r="G241" s="159" t="s">
        <v>410</v>
      </c>
      <c r="H241" s="160">
        <v>48</v>
      </c>
      <c r="I241" s="166">
        <v>0</v>
      </c>
      <c r="J241" s="166">
        <v>0</v>
      </c>
      <c r="K241" s="166">
        <v>0</v>
      </c>
      <c r="L241" s="166">
        <v>0</v>
      </c>
      <c r="M241" s="166">
        <v>0</v>
      </c>
      <c r="N241" s="166">
        <v>0</v>
      </c>
      <c r="O241" s="166">
        <v>0</v>
      </c>
      <c r="P241" s="160">
        <f>SUM(H241:O241)</f>
        <v>48</v>
      </c>
    </row>
    <row r="242" spans="1:16" ht="18" customHeight="1" x14ac:dyDescent="0.25">
      <c r="A242" s="469"/>
      <c r="B242" s="470"/>
      <c r="C242" s="490"/>
      <c r="D242" s="472"/>
      <c r="E242" s="474"/>
      <c r="F242" s="161"/>
      <c r="G242" s="161" t="s">
        <v>411</v>
      </c>
      <c r="H242" s="162">
        <f t="shared" ref="H242:P242" si="78">SUM(H240:H241)</f>
        <v>4298</v>
      </c>
      <c r="I242" s="162">
        <f t="shared" si="78"/>
        <v>0</v>
      </c>
      <c r="J242" s="162">
        <f t="shared" si="78"/>
        <v>0</v>
      </c>
      <c r="K242" s="162">
        <f t="shared" si="78"/>
        <v>0</v>
      </c>
      <c r="L242" s="162">
        <f t="shared" si="78"/>
        <v>0</v>
      </c>
      <c r="M242" s="162">
        <f t="shared" si="78"/>
        <v>0</v>
      </c>
      <c r="N242" s="162">
        <f t="shared" si="78"/>
        <v>0</v>
      </c>
      <c r="O242" s="162">
        <f t="shared" si="78"/>
        <v>0</v>
      </c>
      <c r="P242" s="162">
        <f t="shared" si="78"/>
        <v>4298</v>
      </c>
    </row>
    <row r="243" spans="1:16" ht="15" customHeight="1" x14ac:dyDescent="0.25">
      <c r="A243" s="469">
        <f>A240+1</f>
        <v>79</v>
      </c>
      <c r="B243" s="470" t="s">
        <v>405</v>
      </c>
      <c r="C243" s="489" t="s">
        <v>696</v>
      </c>
      <c r="D243" s="472">
        <v>43299</v>
      </c>
      <c r="E243" s="474" t="s">
        <v>697</v>
      </c>
      <c r="F243" s="167" t="s">
        <v>698</v>
      </c>
      <c r="G243" s="157" t="s">
        <v>409</v>
      </c>
      <c r="H243" s="158">
        <v>5304</v>
      </c>
      <c r="I243" s="158">
        <v>5304</v>
      </c>
      <c r="J243" s="158">
        <v>5304</v>
      </c>
      <c r="K243" s="158">
        <v>5304</v>
      </c>
      <c r="L243" s="158">
        <v>5304</v>
      </c>
      <c r="M243" s="158">
        <v>5304</v>
      </c>
      <c r="N243" s="158">
        <v>5304</v>
      </c>
      <c r="O243" s="158">
        <f>19890</f>
        <v>19890</v>
      </c>
      <c r="P243" s="158">
        <f>SUM(H243:O243)</f>
        <v>57018</v>
      </c>
    </row>
    <row r="244" spans="1:16" ht="15" customHeight="1" x14ac:dyDescent="0.25">
      <c r="A244" s="469"/>
      <c r="B244" s="470"/>
      <c r="C244" s="489"/>
      <c r="D244" s="472"/>
      <c r="E244" s="474"/>
      <c r="F244" s="165" t="s">
        <v>699</v>
      </c>
      <c r="G244" s="159" t="s">
        <v>410</v>
      </c>
      <c r="H244" s="160">
        <f>1080+103</f>
        <v>1183</v>
      </c>
      <c r="I244" s="160">
        <f>2160+129</f>
        <v>2289</v>
      </c>
      <c r="J244" s="160">
        <f>1901+115</f>
        <v>2016</v>
      </c>
      <c r="K244" s="160">
        <f>1680+102</f>
        <v>1782</v>
      </c>
      <c r="L244" s="160">
        <f>1459+89</f>
        <v>1548</v>
      </c>
      <c r="M244" s="160">
        <f>1241+75</f>
        <v>1316</v>
      </c>
      <c r="N244" s="173">
        <f>1016+62</f>
        <v>1078</v>
      </c>
      <c r="O244" s="173">
        <v>1957</v>
      </c>
      <c r="P244" s="160">
        <f>SUM(H244:O244)</f>
        <v>13169</v>
      </c>
    </row>
    <row r="245" spans="1:16" ht="15" customHeight="1" x14ac:dyDescent="0.25">
      <c r="A245" s="469"/>
      <c r="B245" s="470"/>
      <c r="C245" s="489"/>
      <c r="D245" s="472"/>
      <c r="E245" s="474"/>
      <c r="F245" s="161"/>
      <c r="G245" s="161" t="s">
        <v>411</v>
      </c>
      <c r="H245" s="162">
        <f t="shared" ref="H245:P245" si="79">SUM(H243:H244)</f>
        <v>6487</v>
      </c>
      <c r="I245" s="162">
        <f t="shared" si="79"/>
        <v>7593</v>
      </c>
      <c r="J245" s="162">
        <f t="shared" si="79"/>
        <v>7320</v>
      </c>
      <c r="K245" s="162">
        <f t="shared" si="79"/>
        <v>7086</v>
      </c>
      <c r="L245" s="162">
        <f t="shared" si="79"/>
        <v>6852</v>
      </c>
      <c r="M245" s="162">
        <f t="shared" si="79"/>
        <v>6620</v>
      </c>
      <c r="N245" s="162">
        <f t="shared" si="79"/>
        <v>6382</v>
      </c>
      <c r="O245" s="162">
        <f t="shared" si="79"/>
        <v>21847</v>
      </c>
      <c r="P245" s="162">
        <f t="shared" si="79"/>
        <v>70187</v>
      </c>
    </row>
    <row r="246" spans="1:16" ht="15.75" customHeight="1" x14ac:dyDescent="0.25">
      <c r="A246" s="469">
        <f>A243+1</f>
        <v>80</v>
      </c>
      <c r="B246" s="470" t="s">
        <v>405</v>
      </c>
      <c r="C246" s="491" t="s">
        <v>700</v>
      </c>
      <c r="D246" s="472">
        <v>43315</v>
      </c>
      <c r="E246" s="474" t="s">
        <v>560</v>
      </c>
      <c r="F246" s="167" t="s">
        <v>701</v>
      </c>
      <c r="G246" s="157" t="s">
        <v>409</v>
      </c>
      <c r="H246" s="158">
        <v>102640</v>
      </c>
      <c r="I246" s="158">
        <v>102640</v>
      </c>
      <c r="J246" s="158">
        <v>102640</v>
      </c>
      <c r="K246" s="158">
        <v>102640</v>
      </c>
      <c r="L246" s="158">
        <v>102640</v>
      </c>
      <c r="M246" s="158">
        <v>102640</v>
      </c>
      <c r="N246" s="158">
        <v>102640</v>
      </c>
      <c r="O246" s="158">
        <f>1411300</f>
        <v>1411300</v>
      </c>
      <c r="P246" s="158">
        <f>SUM(H246:O246)</f>
        <v>2129780</v>
      </c>
    </row>
    <row r="247" spans="1:16" ht="15.75" customHeight="1" x14ac:dyDescent="0.25">
      <c r="A247" s="469"/>
      <c r="B247" s="470"/>
      <c r="C247" s="491"/>
      <c r="D247" s="472"/>
      <c r="E247" s="474"/>
      <c r="F247" s="165" t="s">
        <v>702</v>
      </c>
      <c r="G247" s="159" t="s">
        <v>410</v>
      </c>
      <c r="H247" s="160">
        <f>37061+2844</f>
        <v>39905</v>
      </c>
      <c r="I247" s="160">
        <f>84115+5111</f>
        <v>89226</v>
      </c>
      <c r="J247" s="160">
        <f>79608+4838</f>
        <v>84446</v>
      </c>
      <c r="K247" s="160">
        <f>75335+4577</f>
        <v>79912</v>
      </c>
      <c r="L247" s="160">
        <f>71051+4318</f>
        <v>75369</v>
      </c>
      <c r="M247" s="160">
        <f>66943+4068</f>
        <v>71011</v>
      </c>
      <c r="N247" s="173">
        <f>62477+3796</f>
        <v>66273</v>
      </c>
      <c r="O247" s="173">
        <v>451159</v>
      </c>
      <c r="P247" s="160">
        <f>SUM(H247:O247)</f>
        <v>957301</v>
      </c>
    </row>
    <row r="248" spans="1:16" ht="15.75" customHeight="1" x14ac:dyDescent="0.25">
      <c r="A248" s="469"/>
      <c r="B248" s="470"/>
      <c r="C248" s="491"/>
      <c r="D248" s="472"/>
      <c r="E248" s="474"/>
      <c r="F248" s="161"/>
      <c r="G248" s="161" t="s">
        <v>411</v>
      </c>
      <c r="H248" s="162">
        <f t="shared" ref="H248:P248" si="80">SUM(H246:H247)</f>
        <v>142545</v>
      </c>
      <c r="I248" s="162">
        <f t="shared" si="80"/>
        <v>191866</v>
      </c>
      <c r="J248" s="162">
        <f t="shared" si="80"/>
        <v>187086</v>
      </c>
      <c r="K248" s="162">
        <f t="shared" si="80"/>
        <v>182552</v>
      </c>
      <c r="L248" s="162">
        <f t="shared" si="80"/>
        <v>178009</v>
      </c>
      <c r="M248" s="162">
        <f t="shared" si="80"/>
        <v>173651</v>
      </c>
      <c r="N248" s="162">
        <f t="shared" si="80"/>
        <v>168913</v>
      </c>
      <c r="O248" s="162">
        <f t="shared" si="80"/>
        <v>1862459</v>
      </c>
      <c r="P248" s="162">
        <f t="shared" si="80"/>
        <v>3087081</v>
      </c>
    </row>
    <row r="249" spans="1:16" ht="15.75" customHeight="1" x14ac:dyDescent="0.25">
      <c r="A249" s="469">
        <f>A246+1</f>
        <v>81</v>
      </c>
      <c r="B249" s="470" t="s">
        <v>405</v>
      </c>
      <c r="C249" s="490" t="s">
        <v>703</v>
      </c>
      <c r="D249" s="472">
        <v>43315</v>
      </c>
      <c r="E249" s="474" t="s">
        <v>704</v>
      </c>
      <c r="F249" s="167" t="s">
        <v>705</v>
      </c>
      <c r="G249" s="157" t="s">
        <v>409</v>
      </c>
      <c r="H249" s="158">
        <v>58765</v>
      </c>
      <c r="I249" s="164">
        <v>0</v>
      </c>
      <c r="J249" s="164">
        <v>0</v>
      </c>
      <c r="K249" s="164">
        <v>0</v>
      </c>
      <c r="L249" s="164">
        <v>0</v>
      </c>
      <c r="M249" s="164"/>
      <c r="N249" s="164"/>
      <c r="O249" s="164">
        <v>0</v>
      </c>
      <c r="P249" s="158">
        <f>SUM(H249:O249)</f>
        <v>58765</v>
      </c>
    </row>
    <row r="250" spans="1:16" ht="15.75" customHeight="1" x14ac:dyDescent="0.25">
      <c r="A250" s="469"/>
      <c r="B250" s="470"/>
      <c r="C250" s="490"/>
      <c r="D250" s="472"/>
      <c r="E250" s="474"/>
      <c r="F250" s="165" t="s">
        <v>706</v>
      </c>
      <c r="G250" s="159" t="s">
        <v>410</v>
      </c>
      <c r="H250" s="160">
        <v>603</v>
      </c>
      <c r="I250" s="166"/>
      <c r="J250" s="166"/>
      <c r="K250" s="166"/>
      <c r="L250" s="166"/>
      <c r="M250" s="166"/>
      <c r="N250" s="166"/>
      <c r="O250" s="166"/>
      <c r="P250" s="160">
        <f>SUM(H250:O250)</f>
        <v>603</v>
      </c>
    </row>
    <row r="251" spans="1:16" ht="15.75" customHeight="1" x14ac:dyDescent="0.25">
      <c r="A251" s="469"/>
      <c r="B251" s="470"/>
      <c r="C251" s="490"/>
      <c r="D251" s="472"/>
      <c r="E251" s="474"/>
      <c r="F251" s="161"/>
      <c r="G251" s="161" t="s">
        <v>411</v>
      </c>
      <c r="H251" s="162">
        <f t="shared" ref="H251:P251" si="81">SUM(H249:H250)</f>
        <v>59368</v>
      </c>
      <c r="I251" s="162">
        <f t="shared" si="81"/>
        <v>0</v>
      </c>
      <c r="J251" s="162">
        <f t="shared" si="81"/>
        <v>0</v>
      </c>
      <c r="K251" s="162">
        <f t="shared" si="81"/>
        <v>0</v>
      </c>
      <c r="L251" s="162">
        <f t="shared" si="81"/>
        <v>0</v>
      </c>
      <c r="M251" s="162">
        <f t="shared" si="81"/>
        <v>0</v>
      </c>
      <c r="N251" s="162">
        <f t="shared" si="81"/>
        <v>0</v>
      </c>
      <c r="O251" s="162">
        <f t="shared" si="81"/>
        <v>0</v>
      </c>
      <c r="P251" s="162">
        <f t="shared" si="81"/>
        <v>59368</v>
      </c>
    </row>
    <row r="252" spans="1:16" ht="16.5" customHeight="1" x14ac:dyDescent="0.25">
      <c r="A252" s="469">
        <f>A249+1</f>
        <v>82</v>
      </c>
      <c r="B252" s="470" t="s">
        <v>405</v>
      </c>
      <c r="C252" s="490" t="s">
        <v>707</v>
      </c>
      <c r="D252" s="472">
        <v>43341</v>
      </c>
      <c r="E252" s="474" t="s">
        <v>708</v>
      </c>
      <c r="F252" s="167" t="s">
        <v>709</v>
      </c>
      <c r="G252" s="157" t="s">
        <v>409</v>
      </c>
      <c r="H252" s="158">
        <v>7644</v>
      </c>
      <c r="I252" s="158">
        <v>7644</v>
      </c>
      <c r="J252" s="158">
        <v>7644</v>
      </c>
      <c r="K252" s="158">
        <v>7644</v>
      </c>
      <c r="L252" s="158">
        <v>7644</v>
      </c>
      <c r="M252" s="158">
        <v>5733</v>
      </c>
      <c r="N252" s="158">
        <v>0</v>
      </c>
      <c r="O252" s="158">
        <v>0</v>
      </c>
      <c r="P252" s="158">
        <f>SUM(H252:O252)</f>
        <v>43953</v>
      </c>
    </row>
    <row r="253" spans="1:16" ht="16.5" customHeight="1" x14ac:dyDescent="0.25">
      <c r="A253" s="469"/>
      <c r="B253" s="470"/>
      <c r="C253" s="490"/>
      <c r="D253" s="472"/>
      <c r="E253" s="474"/>
      <c r="F253" s="165" t="s">
        <v>710</v>
      </c>
      <c r="G253" s="159" t="s">
        <v>410</v>
      </c>
      <c r="H253" s="160">
        <f>819+31</f>
        <v>850</v>
      </c>
      <c r="I253" s="160">
        <f>1469+89</f>
        <v>1558</v>
      </c>
      <c r="J253" s="160">
        <f>1146+70</f>
        <v>1216</v>
      </c>
      <c r="K253" s="160">
        <f>828+50</f>
        <v>878</v>
      </c>
      <c r="L253" s="160">
        <f>509+31</f>
        <v>540</v>
      </c>
      <c r="M253" s="160">
        <f>183+11</f>
        <v>194</v>
      </c>
      <c r="N253" s="160">
        <v>0</v>
      </c>
      <c r="O253" s="160">
        <v>0</v>
      </c>
      <c r="P253" s="160">
        <f>SUM(H253:O253)</f>
        <v>5236</v>
      </c>
    </row>
    <row r="254" spans="1:16" ht="16.5" customHeight="1" x14ac:dyDescent="0.25">
      <c r="A254" s="469"/>
      <c r="B254" s="470"/>
      <c r="C254" s="490"/>
      <c r="D254" s="472"/>
      <c r="E254" s="474"/>
      <c r="F254" s="161"/>
      <c r="G254" s="161" t="s">
        <v>411</v>
      </c>
      <c r="H254" s="162">
        <f t="shared" ref="H254:P254" si="82">SUM(H252:H253)</f>
        <v>8494</v>
      </c>
      <c r="I254" s="162">
        <f t="shared" si="82"/>
        <v>9202</v>
      </c>
      <c r="J254" s="162">
        <f t="shared" si="82"/>
        <v>8860</v>
      </c>
      <c r="K254" s="162">
        <f t="shared" si="82"/>
        <v>8522</v>
      </c>
      <c r="L254" s="162">
        <f t="shared" si="82"/>
        <v>8184</v>
      </c>
      <c r="M254" s="162">
        <f t="shared" si="82"/>
        <v>5927</v>
      </c>
      <c r="N254" s="162">
        <f t="shared" si="82"/>
        <v>0</v>
      </c>
      <c r="O254" s="162">
        <f t="shared" si="82"/>
        <v>0</v>
      </c>
      <c r="P254" s="162">
        <f t="shared" si="82"/>
        <v>49189</v>
      </c>
    </row>
    <row r="255" spans="1:16" ht="14.25" customHeight="1" x14ac:dyDescent="0.25">
      <c r="A255" s="469">
        <f>A252+1</f>
        <v>83</v>
      </c>
      <c r="B255" s="470" t="s">
        <v>405</v>
      </c>
      <c r="C255" s="489" t="s">
        <v>711</v>
      </c>
      <c r="D255" s="472">
        <v>43378</v>
      </c>
      <c r="E255" s="474" t="s">
        <v>712</v>
      </c>
      <c r="F255" s="167" t="s">
        <v>713</v>
      </c>
      <c r="G255" s="157" t="s">
        <v>409</v>
      </c>
      <c r="H255" s="158">
        <v>12660</v>
      </c>
      <c r="I255" s="158">
        <v>12660</v>
      </c>
      <c r="J255" s="158">
        <v>12660</v>
      </c>
      <c r="K255" s="158">
        <v>12660</v>
      </c>
      <c r="L255" s="158">
        <v>12660</v>
      </c>
      <c r="M255" s="158">
        <v>10495</v>
      </c>
      <c r="N255" s="158">
        <v>0</v>
      </c>
      <c r="O255" s="158">
        <v>0</v>
      </c>
      <c r="P255" s="158">
        <f>SUM(H255:O255)</f>
        <v>73795</v>
      </c>
    </row>
    <row r="256" spans="1:16" ht="14.25" customHeight="1" x14ac:dyDescent="0.25">
      <c r="A256" s="469"/>
      <c r="B256" s="470"/>
      <c r="C256" s="489"/>
      <c r="D256" s="472"/>
      <c r="E256" s="474"/>
      <c r="F256" s="165" t="s">
        <v>714</v>
      </c>
      <c r="G256" s="159" t="s">
        <v>410</v>
      </c>
      <c r="H256" s="160">
        <v>1953</v>
      </c>
      <c r="I256" s="160">
        <f>2421+148</f>
        <v>2569</v>
      </c>
      <c r="J256" s="160">
        <f>1898+115</f>
        <v>2013</v>
      </c>
      <c r="K256" s="160">
        <f>1371+83</f>
        <v>1454</v>
      </c>
      <c r="L256" s="160">
        <f>843+51</f>
        <v>894</v>
      </c>
      <c r="M256" s="160">
        <f>314+19</f>
        <v>333</v>
      </c>
      <c r="N256" s="160">
        <v>0</v>
      </c>
      <c r="O256" s="160">
        <v>0</v>
      </c>
      <c r="P256" s="160">
        <f>SUM(H256:O256)</f>
        <v>9216</v>
      </c>
    </row>
    <row r="257" spans="1:16" ht="14.25" customHeight="1" x14ac:dyDescent="0.25">
      <c r="A257" s="469"/>
      <c r="B257" s="482"/>
      <c r="C257" s="492"/>
      <c r="D257" s="475"/>
      <c r="E257" s="478"/>
      <c r="F257" s="168"/>
      <c r="G257" s="168" t="s">
        <v>411</v>
      </c>
      <c r="H257" s="162">
        <f t="shared" ref="H257:P257" si="83">SUM(H255:H256)</f>
        <v>14613</v>
      </c>
      <c r="I257" s="162">
        <f t="shared" si="83"/>
        <v>15229</v>
      </c>
      <c r="J257" s="162">
        <f t="shared" si="83"/>
        <v>14673</v>
      </c>
      <c r="K257" s="162">
        <f t="shared" si="83"/>
        <v>14114</v>
      </c>
      <c r="L257" s="162">
        <f t="shared" si="83"/>
        <v>13554</v>
      </c>
      <c r="M257" s="162">
        <f t="shared" si="83"/>
        <v>10828</v>
      </c>
      <c r="N257" s="162">
        <f t="shared" si="83"/>
        <v>0</v>
      </c>
      <c r="O257" s="162">
        <f t="shared" si="83"/>
        <v>0</v>
      </c>
      <c r="P257" s="162">
        <f t="shared" si="83"/>
        <v>83011</v>
      </c>
    </row>
    <row r="258" spans="1:16" ht="14.25" customHeight="1" x14ac:dyDescent="0.25">
      <c r="A258" s="469">
        <f>A255+1</f>
        <v>84</v>
      </c>
      <c r="B258" s="470" t="s">
        <v>405</v>
      </c>
      <c r="C258" s="489" t="s">
        <v>715</v>
      </c>
      <c r="D258" s="472">
        <v>43391</v>
      </c>
      <c r="E258" s="474" t="s">
        <v>716</v>
      </c>
      <c r="F258" s="167" t="s">
        <v>717</v>
      </c>
      <c r="G258" s="157" t="s">
        <v>409</v>
      </c>
      <c r="H258" s="158">
        <v>8292</v>
      </c>
      <c r="I258" s="158">
        <v>8292</v>
      </c>
      <c r="J258" s="158">
        <v>8292</v>
      </c>
      <c r="K258" s="158">
        <v>8292</v>
      </c>
      <c r="L258" s="158">
        <v>8292</v>
      </c>
      <c r="M258" s="158">
        <v>8292</v>
      </c>
      <c r="N258" s="158">
        <v>8292</v>
      </c>
      <c r="O258" s="158">
        <f>33168</f>
        <v>33168</v>
      </c>
      <c r="P258" s="158">
        <f>SUM(H258:O258)</f>
        <v>91212</v>
      </c>
    </row>
    <row r="259" spans="1:16" ht="14.45" customHeight="1" x14ac:dyDescent="0.25">
      <c r="A259" s="469"/>
      <c r="B259" s="470"/>
      <c r="C259" s="489"/>
      <c r="D259" s="472"/>
      <c r="E259" s="474"/>
      <c r="F259" s="165" t="s">
        <v>718</v>
      </c>
      <c r="G259" s="159" t="s">
        <v>410</v>
      </c>
      <c r="H259" s="160">
        <v>2545</v>
      </c>
      <c r="I259" s="160">
        <f>3353+207</f>
        <v>3560</v>
      </c>
      <c r="J259" s="160">
        <f>3059+186</f>
        <v>3245</v>
      </c>
      <c r="K259" s="160">
        <f>2714+165</f>
        <v>2879</v>
      </c>
      <c r="L259" s="160">
        <f>2367+144</f>
        <v>2511</v>
      </c>
      <c r="M259" s="160">
        <f>2027+123</f>
        <v>2150</v>
      </c>
      <c r="N259" s="173">
        <f>1675+102</f>
        <v>1777</v>
      </c>
      <c r="O259" s="173">
        <v>3447</v>
      </c>
      <c r="P259" s="160">
        <f>SUM(H259:O259)</f>
        <v>22114</v>
      </c>
    </row>
    <row r="260" spans="1:16" ht="15" customHeight="1" x14ac:dyDescent="0.25">
      <c r="A260" s="469"/>
      <c r="B260" s="470"/>
      <c r="C260" s="489"/>
      <c r="D260" s="472"/>
      <c r="E260" s="474"/>
      <c r="F260" s="161"/>
      <c r="G260" s="161" t="s">
        <v>411</v>
      </c>
      <c r="H260" s="162">
        <f t="shared" ref="H260:P260" si="84">SUM(H258:H259)</f>
        <v>10837</v>
      </c>
      <c r="I260" s="162">
        <f t="shared" si="84"/>
        <v>11852</v>
      </c>
      <c r="J260" s="162">
        <f t="shared" si="84"/>
        <v>11537</v>
      </c>
      <c r="K260" s="162">
        <f t="shared" si="84"/>
        <v>11171</v>
      </c>
      <c r="L260" s="162">
        <f t="shared" si="84"/>
        <v>10803</v>
      </c>
      <c r="M260" s="162">
        <f t="shared" si="84"/>
        <v>10442</v>
      </c>
      <c r="N260" s="162">
        <f t="shared" si="84"/>
        <v>10069</v>
      </c>
      <c r="O260" s="162">
        <f t="shared" si="84"/>
        <v>36615</v>
      </c>
      <c r="P260" s="162">
        <f t="shared" si="84"/>
        <v>113326</v>
      </c>
    </row>
    <row r="261" spans="1:16" ht="16.5" customHeight="1" x14ac:dyDescent="0.25">
      <c r="A261" s="469">
        <f>A258+1</f>
        <v>85</v>
      </c>
      <c r="B261" s="470" t="s">
        <v>405</v>
      </c>
      <c r="C261" s="471" t="s">
        <v>719</v>
      </c>
      <c r="D261" s="472">
        <v>43416</v>
      </c>
      <c r="E261" s="474" t="s">
        <v>720</v>
      </c>
      <c r="F261" s="167" t="s">
        <v>721</v>
      </c>
      <c r="G261" s="157" t="s">
        <v>409</v>
      </c>
      <c r="H261" s="158">
        <v>9564</v>
      </c>
      <c r="I261" s="158">
        <v>9564</v>
      </c>
      <c r="J261" s="158">
        <v>9564</v>
      </c>
      <c r="K261" s="158">
        <v>9564</v>
      </c>
      <c r="L261" s="158">
        <v>9564</v>
      </c>
      <c r="M261" s="158">
        <v>9564</v>
      </c>
      <c r="N261" s="158">
        <v>0</v>
      </c>
      <c r="O261" s="164">
        <v>0</v>
      </c>
      <c r="P261" s="158">
        <f>SUM(H261:O261)</f>
        <v>57384</v>
      </c>
    </row>
    <row r="262" spans="1:16" ht="16.5" customHeight="1" x14ac:dyDescent="0.25">
      <c r="A262" s="469"/>
      <c r="B262" s="470"/>
      <c r="C262" s="471"/>
      <c r="D262" s="472"/>
      <c r="E262" s="474"/>
      <c r="F262" s="165" t="s">
        <v>722</v>
      </c>
      <c r="G262" s="159" t="s">
        <v>410</v>
      </c>
      <c r="H262" s="160">
        <v>1609</v>
      </c>
      <c r="I262" s="160">
        <f>1875+118</f>
        <v>1993</v>
      </c>
      <c r="J262" s="160">
        <f>1534+93</f>
        <v>1627</v>
      </c>
      <c r="K262" s="160">
        <f>1135+69</f>
        <v>1204</v>
      </c>
      <c r="L262" s="160">
        <f>736+45</f>
        <v>781</v>
      </c>
      <c r="M262" s="160">
        <f>337+21</f>
        <v>358</v>
      </c>
      <c r="N262" s="160">
        <v>5</v>
      </c>
      <c r="O262" s="166">
        <v>0</v>
      </c>
      <c r="P262" s="160">
        <f>SUM(H262:O262)</f>
        <v>7577</v>
      </c>
    </row>
    <row r="263" spans="1:16" ht="16.5" customHeight="1" x14ac:dyDescent="0.25">
      <c r="A263" s="469"/>
      <c r="B263" s="470"/>
      <c r="C263" s="471"/>
      <c r="D263" s="472"/>
      <c r="E263" s="474"/>
      <c r="F263" s="161"/>
      <c r="G263" s="161" t="s">
        <v>411</v>
      </c>
      <c r="H263" s="162">
        <f t="shared" ref="H263:P263" si="85">SUM(H261:H262)</f>
        <v>11173</v>
      </c>
      <c r="I263" s="162">
        <f t="shared" si="85"/>
        <v>11557</v>
      </c>
      <c r="J263" s="162">
        <f t="shared" si="85"/>
        <v>11191</v>
      </c>
      <c r="K263" s="162">
        <f t="shared" si="85"/>
        <v>10768</v>
      </c>
      <c r="L263" s="162">
        <f t="shared" si="85"/>
        <v>10345</v>
      </c>
      <c r="M263" s="162">
        <f t="shared" si="85"/>
        <v>9922</v>
      </c>
      <c r="N263" s="162">
        <f t="shared" si="85"/>
        <v>5</v>
      </c>
      <c r="O263" s="162">
        <f t="shared" si="85"/>
        <v>0</v>
      </c>
      <c r="P263" s="162">
        <f t="shared" si="85"/>
        <v>64961</v>
      </c>
    </row>
    <row r="264" spans="1:16" ht="16.5" customHeight="1" x14ac:dyDescent="0.25">
      <c r="A264" s="469">
        <f>A261+1</f>
        <v>86</v>
      </c>
      <c r="B264" s="470" t="s">
        <v>405</v>
      </c>
      <c r="C264" s="471" t="s">
        <v>723</v>
      </c>
      <c r="D264" s="472">
        <v>43431</v>
      </c>
      <c r="E264" s="474" t="s">
        <v>457</v>
      </c>
      <c r="F264" s="167" t="s">
        <v>724</v>
      </c>
      <c r="G264" s="157" t="s">
        <v>409</v>
      </c>
      <c r="H264" s="158">
        <v>16312</v>
      </c>
      <c r="I264" s="158">
        <v>16312</v>
      </c>
      <c r="J264" s="158">
        <v>16312</v>
      </c>
      <c r="K264" s="158">
        <v>16312</v>
      </c>
      <c r="L264" s="158">
        <v>16312</v>
      </c>
      <c r="M264" s="158">
        <v>16312</v>
      </c>
      <c r="N264" s="158">
        <v>0</v>
      </c>
      <c r="O264" s="158">
        <v>0</v>
      </c>
      <c r="P264" s="158">
        <f>SUM(H264:O264)</f>
        <v>97872</v>
      </c>
    </row>
    <row r="265" spans="1:16" ht="16.5" customHeight="1" x14ac:dyDescent="0.25">
      <c r="A265" s="469"/>
      <c r="B265" s="470"/>
      <c r="C265" s="471"/>
      <c r="D265" s="472"/>
      <c r="E265" s="474"/>
      <c r="F265" s="165" t="s">
        <v>725</v>
      </c>
      <c r="G265" s="159" t="s">
        <v>410</v>
      </c>
      <c r="H265" s="160">
        <v>2565</v>
      </c>
      <c r="I265" s="160">
        <f>3146+201</f>
        <v>3347</v>
      </c>
      <c r="J265" s="160">
        <f>2616+159</f>
        <v>2775</v>
      </c>
      <c r="K265" s="160">
        <f>1937+117</f>
        <v>2054</v>
      </c>
      <c r="L265" s="160">
        <f>1256+76</f>
        <v>1332</v>
      </c>
      <c r="M265" s="160">
        <f>575+35</f>
        <v>610</v>
      </c>
      <c r="N265" s="160">
        <v>25</v>
      </c>
      <c r="O265" s="160">
        <v>0</v>
      </c>
      <c r="P265" s="160">
        <f>SUM(H265:O265)</f>
        <v>12708</v>
      </c>
    </row>
    <row r="266" spans="1:16" ht="16.5" customHeight="1" x14ac:dyDescent="0.25">
      <c r="A266" s="469"/>
      <c r="B266" s="470"/>
      <c r="C266" s="471"/>
      <c r="D266" s="472"/>
      <c r="E266" s="474"/>
      <c r="F266" s="161"/>
      <c r="G266" s="161" t="s">
        <v>411</v>
      </c>
      <c r="H266" s="162">
        <f t="shared" ref="H266:P266" si="86">SUM(H264:H265)</f>
        <v>18877</v>
      </c>
      <c r="I266" s="162">
        <f t="shared" si="86"/>
        <v>19659</v>
      </c>
      <c r="J266" s="162">
        <f t="shared" si="86"/>
        <v>19087</v>
      </c>
      <c r="K266" s="162">
        <f t="shared" si="86"/>
        <v>18366</v>
      </c>
      <c r="L266" s="162">
        <f t="shared" si="86"/>
        <v>17644</v>
      </c>
      <c r="M266" s="162">
        <f t="shared" si="86"/>
        <v>16922</v>
      </c>
      <c r="N266" s="162">
        <f t="shared" si="86"/>
        <v>25</v>
      </c>
      <c r="O266" s="162">
        <f t="shared" si="86"/>
        <v>0</v>
      </c>
      <c r="P266" s="162">
        <f t="shared" si="86"/>
        <v>110580</v>
      </c>
    </row>
    <row r="267" spans="1:16" ht="16.5" customHeight="1" x14ac:dyDescent="0.25">
      <c r="A267" s="469">
        <f>A264+1</f>
        <v>87</v>
      </c>
      <c r="B267" s="470" t="s">
        <v>405</v>
      </c>
      <c r="C267" s="471" t="s">
        <v>726</v>
      </c>
      <c r="D267" s="472">
        <v>43431</v>
      </c>
      <c r="E267" s="474" t="s">
        <v>727</v>
      </c>
      <c r="F267" s="167" t="s">
        <v>728</v>
      </c>
      <c r="G267" s="157" t="s">
        <v>409</v>
      </c>
      <c r="H267" s="158">
        <v>31676</v>
      </c>
      <c r="I267" s="158">
        <v>31676</v>
      </c>
      <c r="J267" s="158">
        <v>31676</v>
      </c>
      <c r="K267" s="158">
        <v>31676</v>
      </c>
      <c r="L267" s="158">
        <v>31676</v>
      </c>
      <c r="M267" s="158">
        <v>31676</v>
      </c>
      <c r="N267" s="158">
        <v>12084</v>
      </c>
      <c r="O267" s="158">
        <v>0</v>
      </c>
      <c r="P267" s="158">
        <f>SUM(H267:O267)</f>
        <v>202140</v>
      </c>
    </row>
    <row r="268" spans="1:16" ht="15.75" customHeight="1" x14ac:dyDescent="0.25">
      <c r="A268" s="469"/>
      <c r="B268" s="470"/>
      <c r="C268" s="471"/>
      <c r="D268" s="472"/>
      <c r="E268" s="474"/>
      <c r="F268" s="165" t="s">
        <v>729</v>
      </c>
      <c r="G268" s="159" t="s">
        <v>410</v>
      </c>
      <c r="H268" s="160">
        <v>5310</v>
      </c>
      <c r="I268" s="160">
        <f>6593+421</f>
        <v>7014</v>
      </c>
      <c r="J268" s="160">
        <f>5584+339</f>
        <v>5923</v>
      </c>
      <c r="K268" s="160">
        <f>4265+259</f>
        <v>4524</v>
      </c>
      <c r="L268" s="160">
        <f>2943+178</f>
        <v>3121</v>
      </c>
      <c r="M268" s="160">
        <f>1623+99</f>
        <v>1722</v>
      </c>
      <c r="N268" s="173">
        <f>328+20</f>
        <v>348</v>
      </c>
      <c r="O268" s="160">
        <v>0</v>
      </c>
      <c r="P268" s="160">
        <f>SUM(H268:O268)</f>
        <v>27962</v>
      </c>
    </row>
    <row r="269" spans="1:16" ht="16.5" customHeight="1" x14ac:dyDescent="0.25">
      <c r="A269" s="469"/>
      <c r="B269" s="470"/>
      <c r="C269" s="471"/>
      <c r="D269" s="472"/>
      <c r="E269" s="474"/>
      <c r="F269" s="161"/>
      <c r="G269" s="161" t="s">
        <v>411</v>
      </c>
      <c r="H269" s="162">
        <f t="shared" ref="H269:P269" si="87">SUM(H267:H268)</f>
        <v>36986</v>
      </c>
      <c r="I269" s="162">
        <f t="shared" si="87"/>
        <v>38690</v>
      </c>
      <c r="J269" s="162">
        <f t="shared" si="87"/>
        <v>37599</v>
      </c>
      <c r="K269" s="162">
        <f t="shared" si="87"/>
        <v>36200</v>
      </c>
      <c r="L269" s="162">
        <f t="shared" si="87"/>
        <v>34797</v>
      </c>
      <c r="M269" s="162">
        <f t="shared" si="87"/>
        <v>33398</v>
      </c>
      <c r="N269" s="162">
        <f t="shared" si="87"/>
        <v>12432</v>
      </c>
      <c r="O269" s="162">
        <f t="shared" si="87"/>
        <v>0</v>
      </c>
      <c r="P269" s="162">
        <f t="shared" si="87"/>
        <v>230102</v>
      </c>
    </row>
    <row r="270" spans="1:16" ht="16.5" customHeight="1" x14ac:dyDescent="0.25">
      <c r="A270" s="469">
        <f>A267+1</f>
        <v>88</v>
      </c>
      <c r="B270" s="470" t="s">
        <v>405</v>
      </c>
      <c r="C270" s="471" t="s">
        <v>730</v>
      </c>
      <c r="D270" s="472">
        <v>43433</v>
      </c>
      <c r="E270" s="474" t="s">
        <v>731</v>
      </c>
      <c r="F270" s="167" t="s">
        <v>732</v>
      </c>
      <c r="G270" s="157" t="s">
        <v>409</v>
      </c>
      <c r="H270" s="158">
        <v>3072</v>
      </c>
      <c r="I270" s="158">
        <v>3072</v>
      </c>
      <c r="J270" s="158">
        <v>3071</v>
      </c>
      <c r="K270" s="164">
        <v>0</v>
      </c>
      <c r="L270" s="164">
        <v>0</v>
      </c>
      <c r="M270" s="164">
        <v>0</v>
      </c>
      <c r="N270" s="164">
        <v>0</v>
      </c>
      <c r="O270" s="164">
        <v>0</v>
      </c>
      <c r="P270" s="158">
        <f>SUM(H270:O270)</f>
        <v>9215</v>
      </c>
    </row>
    <row r="271" spans="1:16" ht="16.5" customHeight="1" x14ac:dyDescent="0.25">
      <c r="A271" s="469"/>
      <c r="B271" s="470"/>
      <c r="C271" s="471"/>
      <c r="D271" s="472"/>
      <c r="E271" s="474"/>
      <c r="F271" s="165" t="s">
        <v>733</v>
      </c>
      <c r="G271" s="159" t="s">
        <v>410</v>
      </c>
      <c r="H271" s="160">
        <v>231</v>
      </c>
      <c r="I271" s="160">
        <f>223+14</f>
        <v>237</v>
      </c>
      <c r="J271" s="160">
        <f>108+7</f>
        <v>115</v>
      </c>
      <c r="K271" s="166">
        <v>7</v>
      </c>
      <c r="L271" s="166">
        <v>0</v>
      </c>
      <c r="M271" s="166">
        <v>0</v>
      </c>
      <c r="N271" s="166">
        <v>0</v>
      </c>
      <c r="O271" s="166">
        <v>0</v>
      </c>
      <c r="P271" s="160">
        <f>SUM(H271:O271)</f>
        <v>590</v>
      </c>
    </row>
    <row r="272" spans="1:16" ht="16.5" customHeight="1" x14ac:dyDescent="0.25">
      <c r="A272" s="469"/>
      <c r="B272" s="470"/>
      <c r="C272" s="471"/>
      <c r="D272" s="472"/>
      <c r="E272" s="474"/>
      <c r="F272" s="161"/>
      <c r="G272" s="161" t="s">
        <v>411</v>
      </c>
      <c r="H272" s="162">
        <f t="shared" ref="H272:P272" si="88">SUM(H270:H271)</f>
        <v>3303</v>
      </c>
      <c r="I272" s="162">
        <f t="shared" si="88"/>
        <v>3309</v>
      </c>
      <c r="J272" s="162">
        <f t="shared" si="88"/>
        <v>3186</v>
      </c>
      <c r="K272" s="162">
        <f t="shared" si="88"/>
        <v>7</v>
      </c>
      <c r="L272" s="162">
        <f t="shared" si="88"/>
        <v>0</v>
      </c>
      <c r="M272" s="162">
        <f t="shared" si="88"/>
        <v>0</v>
      </c>
      <c r="N272" s="162">
        <f t="shared" si="88"/>
        <v>0</v>
      </c>
      <c r="O272" s="162">
        <f t="shared" si="88"/>
        <v>0</v>
      </c>
      <c r="P272" s="162">
        <f t="shared" si="88"/>
        <v>9805</v>
      </c>
    </row>
    <row r="273" spans="1:16" ht="15.75" customHeight="1" x14ac:dyDescent="0.25">
      <c r="A273" s="469">
        <f>A270+1</f>
        <v>89</v>
      </c>
      <c r="B273" s="470" t="s">
        <v>405</v>
      </c>
      <c r="C273" s="493" t="s">
        <v>734</v>
      </c>
      <c r="D273" s="472">
        <v>43529</v>
      </c>
      <c r="E273" s="474" t="s">
        <v>735</v>
      </c>
      <c r="F273" s="167" t="s">
        <v>736</v>
      </c>
      <c r="G273" s="157" t="s">
        <v>409</v>
      </c>
      <c r="H273" s="158">
        <v>54120</v>
      </c>
      <c r="I273" s="158">
        <v>54120</v>
      </c>
      <c r="J273" s="158">
        <v>54120</v>
      </c>
      <c r="K273" s="158">
        <v>54120</v>
      </c>
      <c r="L273" s="158">
        <v>54120</v>
      </c>
      <c r="M273" s="158">
        <v>54120</v>
      </c>
      <c r="N273" s="158">
        <v>54120</v>
      </c>
      <c r="O273" s="158">
        <f>771210</f>
        <v>771210</v>
      </c>
      <c r="P273" s="158">
        <f>SUM(H273:O273)</f>
        <v>1150050</v>
      </c>
    </row>
    <row r="274" spans="1:16" ht="15.75" customHeight="1" x14ac:dyDescent="0.25">
      <c r="A274" s="469"/>
      <c r="B274" s="470"/>
      <c r="C274" s="493"/>
      <c r="D274" s="472"/>
      <c r="E274" s="474"/>
      <c r="F274" s="165" t="s">
        <v>737</v>
      </c>
      <c r="G274" s="159" t="s">
        <v>410</v>
      </c>
      <c r="H274" s="160">
        <v>2894</v>
      </c>
      <c r="I274" s="160">
        <v>2764</v>
      </c>
      <c r="J274" s="160">
        <v>2619</v>
      </c>
      <c r="K274" s="160">
        <v>2482</v>
      </c>
      <c r="L274" s="160">
        <v>2345</v>
      </c>
      <c r="M274" s="160">
        <v>2192</v>
      </c>
      <c r="N274" s="173">
        <v>2017</v>
      </c>
      <c r="O274" s="173">
        <f>25578</f>
        <v>25578</v>
      </c>
      <c r="P274" s="160">
        <f>SUM(H274:O274)</f>
        <v>42891</v>
      </c>
    </row>
    <row r="275" spans="1:16" ht="15.75" customHeight="1" x14ac:dyDescent="0.25">
      <c r="A275" s="469"/>
      <c r="B275" s="470"/>
      <c r="C275" s="493"/>
      <c r="D275" s="472"/>
      <c r="E275" s="474"/>
      <c r="F275" s="161"/>
      <c r="G275" s="161" t="s">
        <v>411</v>
      </c>
      <c r="H275" s="162">
        <f t="shared" ref="H275:P275" si="89">SUM(H273:H274)</f>
        <v>57014</v>
      </c>
      <c r="I275" s="162">
        <f t="shared" si="89"/>
        <v>56884</v>
      </c>
      <c r="J275" s="162">
        <f t="shared" si="89"/>
        <v>56739</v>
      </c>
      <c r="K275" s="162">
        <f t="shared" si="89"/>
        <v>56602</v>
      </c>
      <c r="L275" s="162">
        <f t="shared" si="89"/>
        <v>56465</v>
      </c>
      <c r="M275" s="162">
        <f t="shared" si="89"/>
        <v>56312</v>
      </c>
      <c r="N275" s="162">
        <f t="shared" si="89"/>
        <v>56137</v>
      </c>
      <c r="O275" s="162">
        <f t="shared" si="89"/>
        <v>796788</v>
      </c>
      <c r="P275" s="162">
        <f t="shared" si="89"/>
        <v>1192941</v>
      </c>
    </row>
    <row r="276" spans="1:16" ht="15.75" customHeight="1" x14ac:dyDescent="0.25">
      <c r="A276" s="469">
        <f>A273+1</f>
        <v>90</v>
      </c>
      <c r="B276" s="470" t="s">
        <v>405</v>
      </c>
      <c r="C276" s="493" t="s">
        <v>738</v>
      </c>
      <c r="D276" s="485">
        <v>43594</v>
      </c>
      <c r="E276" s="474" t="s">
        <v>727</v>
      </c>
      <c r="F276" s="167" t="s">
        <v>739</v>
      </c>
      <c r="G276" s="157" t="s">
        <v>409</v>
      </c>
      <c r="H276" s="158">
        <v>44476</v>
      </c>
      <c r="I276" s="158">
        <v>44476</v>
      </c>
      <c r="J276" s="158">
        <v>44476</v>
      </c>
      <c r="K276" s="158">
        <v>44476</v>
      </c>
      <c r="L276" s="158">
        <v>44476</v>
      </c>
      <c r="M276" s="158">
        <v>44476</v>
      </c>
      <c r="N276" s="158">
        <v>22238</v>
      </c>
      <c r="O276" s="158">
        <v>0</v>
      </c>
      <c r="P276" s="158">
        <f>SUM(H276:O276)</f>
        <v>289094</v>
      </c>
    </row>
    <row r="277" spans="1:16" ht="15.75" customHeight="1" x14ac:dyDescent="0.25">
      <c r="A277" s="469"/>
      <c r="B277" s="470"/>
      <c r="C277" s="493"/>
      <c r="D277" s="485"/>
      <c r="E277" s="474"/>
      <c r="F277" s="165" t="s">
        <v>740</v>
      </c>
      <c r="G277" s="159" t="s">
        <v>410</v>
      </c>
      <c r="H277" s="160">
        <f>4902+619</f>
        <v>5521</v>
      </c>
      <c r="I277" s="160">
        <f>9555+604</f>
        <v>10159</v>
      </c>
      <c r="J277" s="160">
        <f>8060+489</f>
        <v>8549</v>
      </c>
      <c r="K277" s="160">
        <f>6208+377</f>
        <v>6585</v>
      </c>
      <c r="L277" s="160">
        <f>4352+264</f>
        <v>4616</v>
      </c>
      <c r="M277" s="160">
        <f>2499+152</f>
        <v>2651</v>
      </c>
      <c r="N277" s="173">
        <f>573+35</f>
        <v>608</v>
      </c>
      <c r="O277" s="160">
        <v>0</v>
      </c>
      <c r="P277" s="160">
        <f>SUM(H277:O277)</f>
        <v>38689</v>
      </c>
    </row>
    <row r="278" spans="1:16" ht="16.899999999999999" customHeight="1" x14ac:dyDescent="0.25">
      <c r="A278" s="469"/>
      <c r="B278" s="482"/>
      <c r="C278" s="494"/>
      <c r="D278" s="486"/>
      <c r="E278" s="478"/>
      <c r="F278" s="168"/>
      <c r="G278" s="168" t="s">
        <v>411</v>
      </c>
      <c r="H278" s="162">
        <f t="shared" ref="H278:P278" si="90">SUM(H276:H277)</f>
        <v>49997</v>
      </c>
      <c r="I278" s="162">
        <f t="shared" si="90"/>
        <v>54635</v>
      </c>
      <c r="J278" s="162">
        <f t="shared" si="90"/>
        <v>53025</v>
      </c>
      <c r="K278" s="162">
        <f t="shared" si="90"/>
        <v>51061</v>
      </c>
      <c r="L278" s="162">
        <f t="shared" si="90"/>
        <v>49092</v>
      </c>
      <c r="M278" s="162">
        <f t="shared" si="90"/>
        <v>47127</v>
      </c>
      <c r="N278" s="162">
        <f t="shared" si="90"/>
        <v>22846</v>
      </c>
      <c r="O278" s="162">
        <f t="shared" si="90"/>
        <v>0</v>
      </c>
      <c r="P278" s="162">
        <f t="shared" si="90"/>
        <v>327783</v>
      </c>
    </row>
    <row r="279" spans="1:16" ht="15.75" customHeight="1" x14ac:dyDescent="0.25">
      <c r="A279" s="469">
        <f>A276+1</f>
        <v>91</v>
      </c>
      <c r="B279" s="470" t="s">
        <v>405</v>
      </c>
      <c r="C279" s="493" t="s">
        <v>741</v>
      </c>
      <c r="D279" s="472">
        <v>43602</v>
      </c>
      <c r="E279" s="474" t="s">
        <v>742</v>
      </c>
      <c r="F279" s="167" t="s">
        <v>743</v>
      </c>
      <c r="G279" s="157" t="s">
        <v>409</v>
      </c>
      <c r="H279" s="158">
        <v>435692</v>
      </c>
      <c r="I279" s="158">
        <v>435692</v>
      </c>
      <c r="J279" s="158">
        <v>435692</v>
      </c>
      <c r="K279" s="158">
        <v>435692</v>
      </c>
      <c r="L279" s="158">
        <v>435692</v>
      </c>
      <c r="M279" s="158">
        <v>435692</v>
      </c>
      <c r="N279" s="158">
        <v>435692</v>
      </c>
      <c r="O279" s="158">
        <f>8495994</f>
        <v>8495994</v>
      </c>
      <c r="P279" s="158">
        <f>SUM(H279:O279)</f>
        <v>11545838</v>
      </c>
    </row>
    <row r="280" spans="1:16" ht="15.75" customHeight="1" x14ac:dyDescent="0.25">
      <c r="A280" s="469"/>
      <c r="B280" s="470"/>
      <c r="C280" s="493"/>
      <c r="D280" s="472"/>
      <c r="E280" s="474"/>
      <c r="F280" s="165" t="s">
        <v>744</v>
      </c>
      <c r="G280" s="159" t="s">
        <v>410</v>
      </c>
      <c r="H280" s="160">
        <f>189510+22488</f>
        <v>211998</v>
      </c>
      <c r="I280" s="160">
        <f>440286+28065</f>
        <v>468351</v>
      </c>
      <c r="J280" s="160">
        <f>442421+26885</f>
        <v>469306</v>
      </c>
      <c r="K280" s="160">
        <f>424285+25783</f>
        <v>450068</v>
      </c>
      <c r="L280" s="160">
        <f>406099+24678</f>
        <v>430777</v>
      </c>
      <c r="M280" s="160">
        <f>388946+23635</f>
        <v>412581</v>
      </c>
      <c r="N280" s="173">
        <f>369702+22466</f>
        <v>392168</v>
      </c>
      <c r="O280" s="173">
        <v>3797372</v>
      </c>
      <c r="P280" s="160">
        <f>SUM(H280:O280)</f>
        <v>6632621</v>
      </c>
    </row>
    <row r="281" spans="1:16" ht="15.75" customHeight="1" x14ac:dyDescent="0.25">
      <c r="A281" s="469"/>
      <c r="B281" s="470"/>
      <c r="C281" s="493"/>
      <c r="D281" s="472"/>
      <c r="E281" s="474"/>
      <c r="F281" s="161"/>
      <c r="G281" s="161" t="s">
        <v>411</v>
      </c>
      <c r="H281" s="162">
        <f t="shared" ref="H281:P281" si="91">SUM(H279:H280)</f>
        <v>647690</v>
      </c>
      <c r="I281" s="162">
        <f t="shared" si="91"/>
        <v>904043</v>
      </c>
      <c r="J281" s="162">
        <f t="shared" si="91"/>
        <v>904998</v>
      </c>
      <c r="K281" s="162">
        <f t="shared" si="91"/>
        <v>885760</v>
      </c>
      <c r="L281" s="162">
        <f t="shared" si="91"/>
        <v>866469</v>
      </c>
      <c r="M281" s="162">
        <f t="shared" si="91"/>
        <v>848273</v>
      </c>
      <c r="N281" s="162">
        <f t="shared" si="91"/>
        <v>827860</v>
      </c>
      <c r="O281" s="162">
        <f t="shared" si="91"/>
        <v>12293366</v>
      </c>
      <c r="P281" s="162">
        <f t="shared" si="91"/>
        <v>18178459</v>
      </c>
    </row>
    <row r="282" spans="1:16" ht="15.75" customHeight="1" x14ac:dyDescent="0.25">
      <c r="A282" s="469">
        <f>A279+1</f>
        <v>92</v>
      </c>
      <c r="B282" s="470" t="s">
        <v>405</v>
      </c>
      <c r="C282" s="471" t="s">
        <v>745</v>
      </c>
      <c r="D282" s="472">
        <v>43623</v>
      </c>
      <c r="E282" s="474" t="s">
        <v>569</v>
      </c>
      <c r="F282" s="163" t="s">
        <v>746</v>
      </c>
      <c r="G282" s="157" t="s">
        <v>409</v>
      </c>
      <c r="H282" s="158">
        <v>4052</v>
      </c>
      <c r="I282" s="164">
        <v>0</v>
      </c>
      <c r="J282" s="164">
        <v>0</v>
      </c>
      <c r="K282" s="164">
        <v>0</v>
      </c>
      <c r="L282" s="164">
        <v>0</v>
      </c>
      <c r="M282" s="164">
        <v>0</v>
      </c>
      <c r="N282" s="164">
        <v>0</v>
      </c>
      <c r="O282" s="164">
        <v>0</v>
      </c>
      <c r="P282" s="158">
        <f>SUM(H282:O282)</f>
        <v>4052</v>
      </c>
    </row>
    <row r="283" spans="1:16" ht="15.75" customHeight="1" x14ac:dyDescent="0.25">
      <c r="A283" s="469"/>
      <c r="B283" s="470"/>
      <c r="C283" s="471"/>
      <c r="D283" s="472"/>
      <c r="E283" s="474"/>
      <c r="F283" s="165" t="s">
        <v>747</v>
      </c>
      <c r="G283" s="159" t="s">
        <v>410</v>
      </c>
      <c r="H283" s="160">
        <f>51+4</f>
        <v>55</v>
      </c>
      <c r="I283" s="166">
        <v>9</v>
      </c>
      <c r="J283" s="166">
        <v>0</v>
      </c>
      <c r="K283" s="166">
        <v>0</v>
      </c>
      <c r="L283" s="166">
        <v>0</v>
      </c>
      <c r="M283" s="166">
        <v>0</v>
      </c>
      <c r="N283" s="166">
        <v>0</v>
      </c>
      <c r="O283" s="166">
        <v>0</v>
      </c>
      <c r="P283" s="160">
        <f>SUM(H283:O283)</f>
        <v>64</v>
      </c>
    </row>
    <row r="284" spans="1:16" ht="15.75" customHeight="1" x14ac:dyDescent="0.25">
      <c r="A284" s="469"/>
      <c r="B284" s="470"/>
      <c r="C284" s="471"/>
      <c r="D284" s="472"/>
      <c r="E284" s="474"/>
      <c r="F284" s="161"/>
      <c r="G284" s="161" t="s">
        <v>411</v>
      </c>
      <c r="H284" s="162">
        <f t="shared" ref="H284:P284" si="92">SUM(H282:H283)</f>
        <v>4107</v>
      </c>
      <c r="I284" s="162">
        <f t="shared" si="92"/>
        <v>9</v>
      </c>
      <c r="J284" s="162">
        <f t="shared" si="92"/>
        <v>0</v>
      </c>
      <c r="K284" s="162">
        <f t="shared" si="92"/>
        <v>0</v>
      </c>
      <c r="L284" s="162">
        <f t="shared" si="92"/>
        <v>0</v>
      </c>
      <c r="M284" s="162">
        <f t="shared" si="92"/>
        <v>0</v>
      </c>
      <c r="N284" s="162">
        <f t="shared" si="92"/>
        <v>0</v>
      </c>
      <c r="O284" s="162">
        <f t="shared" si="92"/>
        <v>0</v>
      </c>
      <c r="P284" s="162">
        <f t="shared" si="92"/>
        <v>4116</v>
      </c>
    </row>
    <row r="285" spans="1:16" ht="16.5" customHeight="1" x14ac:dyDescent="0.25">
      <c r="A285" s="469">
        <f>A282+1</f>
        <v>93</v>
      </c>
      <c r="B285" s="470" t="s">
        <v>405</v>
      </c>
      <c r="C285" s="471" t="s">
        <v>748</v>
      </c>
      <c r="D285" s="472">
        <v>43623</v>
      </c>
      <c r="E285" s="474" t="s">
        <v>749</v>
      </c>
      <c r="F285" s="167" t="s">
        <v>750</v>
      </c>
      <c r="G285" s="157" t="s">
        <v>409</v>
      </c>
      <c r="H285" s="158">
        <v>7060</v>
      </c>
      <c r="I285" s="158">
        <v>7060</v>
      </c>
      <c r="J285" s="158">
        <v>7060</v>
      </c>
      <c r="K285" s="158">
        <v>7060</v>
      </c>
      <c r="L285" s="158">
        <v>7060</v>
      </c>
      <c r="M285" s="158">
        <v>7060</v>
      </c>
      <c r="N285" s="158">
        <v>7060</v>
      </c>
      <c r="O285" s="158">
        <f>67070</f>
        <v>67070</v>
      </c>
      <c r="P285" s="158">
        <f>SUM(H285:O285)</f>
        <v>116490</v>
      </c>
    </row>
    <row r="286" spans="1:16" ht="16.5" customHeight="1" x14ac:dyDescent="0.25">
      <c r="A286" s="469"/>
      <c r="B286" s="470"/>
      <c r="C286" s="471"/>
      <c r="D286" s="472"/>
      <c r="E286" s="474"/>
      <c r="F286" s="165" t="s">
        <v>751</v>
      </c>
      <c r="G286" s="159" t="s">
        <v>410</v>
      </c>
      <c r="H286" s="160">
        <f>2114+239</f>
        <v>2353</v>
      </c>
      <c r="I286" s="160">
        <f>4376+275</f>
        <v>4651</v>
      </c>
      <c r="J286" s="160">
        <f>4224+257</f>
        <v>4481</v>
      </c>
      <c r="K286" s="160">
        <f>3930+239</f>
        <v>4169</v>
      </c>
      <c r="L286" s="160">
        <f>3636+221</f>
        <v>3857</v>
      </c>
      <c r="M286" s="160">
        <f>3350+203</f>
        <v>3553</v>
      </c>
      <c r="N286" s="173">
        <f>3046+185</f>
        <v>3231</v>
      </c>
      <c r="O286" s="173">
        <v>15138</v>
      </c>
      <c r="P286" s="160">
        <f>SUM(H286:O286)</f>
        <v>41433</v>
      </c>
    </row>
    <row r="287" spans="1:16" ht="16.5" customHeight="1" x14ac:dyDescent="0.25">
      <c r="A287" s="469"/>
      <c r="B287" s="470"/>
      <c r="C287" s="471"/>
      <c r="D287" s="472"/>
      <c r="E287" s="474"/>
      <c r="F287" s="161"/>
      <c r="G287" s="161" t="s">
        <v>411</v>
      </c>
      <c r="H287" s="162">
        <f t="shared" ref="H287:P287" si="93">SUM(H285:H286)</f>
        <v>9413</v>
      </c>
      <c r="I287" s="162">
        <f t="shared" si="93"/>
        <v>11711</v>
      </c>
      <c r="J287" s="162">
        <f t="shared" si="93"/>
        <v>11541</v>
      </c>
      <c r="K287" s="162">
        <f t="shared" si="93"/>
        <v>11229</v>
      </c>
      <c r="L287" s="162">
        <f t="shared" si="93"/>
        <v>10917</v>
      </c>
      <c r="M287" s="162">
        <f t="shared" si="93"/>
        <v>10613</v>
      </c>
      <c r="N287" s="162">
        <f t="shared" si="93"/>
        <v>10291</v>
      </c>
      <c r="O287" s="162">
        <f t="shared" si="93"/>
        <v>82208</v>
      </c>
      <c r="P287" s="162">
        <f t="shared" si="93"/>
        <v>157923</v>
      </c>
    </row>
    <row r="288" spans="1:16" ht="16.5" customHeight="1" x14ac:dyDescent="0.25">
      <c r="A288" s="469">
        <f>A285+1</f>
        <v>94</v>
      </c>
      <c r="B288" s="470" t="s">
        <v>405</v>
      </c>
      <c r="C288" s="481" t="s">
        <v>752</v>
      </c>
      <c r="D288" s="472">
        <v>43641</v>
      </c>
      <c r="E288" s="474" t="s">
        <v>753</v>
      </c>
      <c r="F288" s="167" t="s">
        <v>754</v>
      </c>
      <c r="G288" s="157" t="s">
        <v>409</v>
      </c>
      <c r="H288" s="158">
        <v>36755</v>
      </c>
      <c r="I288" s="158">
        <v>36755</v>
      </c>
      <c r="J288" s="158">
        <v>36755</v>
      </c>
      <c r="K288" s="158">
        <v>36755</v>
      </c>
      <c r="L288" s="158">
        <v>36755</v>
      </c>
      <c r="M288" s="158">
        <v>36755</v>
      </c>
      <c r="N288" s="158">
        <v>36755</v>
      </c>
      <c r="O288" s="158">
        <f>165393</f>
        <v>165393</v>
      </c>
      <c r="P288" s="158">
        <f>SUM(H288:O288)</f>
        <v>422678</v>
      </c>
    </row>
    <row r="289" spans="1:16" ht="16.5" customHeight="1" x14ac:dyDescent="0.25">
      <c r="A289" s="469"/>
      <c r="B289" s="470"/>
      <c r="C289" s="471"/>
      <c r="D289" s="472"/>
      <c r="E289" s="474"/>
      <c r="F289" s="165" t="s">
        <v>755</v>
      </c>
      <c r="G289" s="159" t="s">
        <v>410</v>
      </c>
      <c r="H289" s="160">
        <f>9181+753</f>
        <v>9934</v>
      </c>
      <c r="I289" s="160">
        <f>15422+966</f>
        <v>16388</v>
      </c>
      <c r="J289" s="160">
        <f>14326+870</f>
        <v>15196</v>
      </c>
      <c r="K289" s="160">
        <f>12796+778</f>
        <v>13574</v>
      </c>
      <c r="L289" s="160">
        <f>11262+684</f>
        <v>11946</v>
      </c>
      <c r="M289" s="160">
        <f>9752+592</f>
        <v>10344</v>
      </c>
      <c r="N289" s="173">
        <f>8191+498</f>
        <v>8689</v>
      </c>
      <c r="O289" s="173">
        <v>19085</v>
      </c>
      <c r="P289" s="160">
        <f>SUM(H289:O289)</f>
        <v>105156</v>
      </c>
    </row>
    <row r="290" spans="1:16" ht="16.5" customHeight="1" x14ac:dyDescent="0.25">
      <c r="A290" s="469"/>
      <c r="B290" s="470"/>
      <c r="C290" s="471"/>
      <c r="D290" s="472"/>
      <c r="E290" s="474"/>
      <c r="F290" s="161"/>
      <c r="G290" s="161" t="s">
        <v>411</v>
      </c>
      <c r="H290" s="162">
        <f t="shared" ref="H290:P290" si="94">SUM(H288:H289)</f>
        <v>46689</v>
      </c>
      <c r="I290" s="162">
        <f t="shared" si="94"/>
        <v>53143</v>
      </c>
      <c r="J290" s="162">
        <f t="shared" si="94"/>
        <v>51951</v>
      </c>
      <c r="K290" s="162">
        <f t="shared" si="94"/>
        <v>50329</v>
      </c>
      <c r="L290" s="162">
        <f t="shared" si="94"/>
        <v>48701</v>
      </c>
      <c r="M290" s="162">
        <f t="shared" si="94"/>
        <v>47099</v>
      </c>
      <c r="N290" s="162">
        <f t="shared" si="94"/>
        <v>45444</v>
      </c>
      <c r="O290" s="162">
        <f t="shared" si="94"/>
        <v>184478</v>
      </c>
      <c r="P290" s="162">
        <f t="shared" si="94"/>
        <v>527834</v>
      </c>
    </row>
    <row r="291" spans="1:16" ht="16.5" customHeight="1" x14ac:dyDescent="0.25">
      <c r="A291" s="469">
        <f>A288+1</f>
        <v>95</v>
      </c>
      <c r="B291" s="470" t="s">
        <v>405</v>
      </c>
      <c r="C291" s="471" t="s">
        <v>756</v>
      </c>
      <c r="D291" s="472">
        <v>43641</v>
      </c>
      <c r="E291" s="474" t="s">
        <v>731</v>
      </c>
      <c r="F291" s="167" t="s">
        <v>757</v>
      </c>
      <c r="G291" s="157" t="s">
        <v>409</v>
      </c>
      <c r="H291" s="158">
        <v>6472</v>
      </c>
      <c r="I291" s="158">
        <v>6472</v>
      </c>
      <c r="J291" s="158">
        <v>6472</v>
      </c>
      <c r="K291" s="164">
        <v>0</v>
      </c>
      <c r="L291" s="164">
        <v>0</v>
      </c>
      <c r="M291" s="164">
        <v>0</v>
      </c>
      <c r="N291" s="164">
        <v>0</v>
      </c>
      <c r="O291" s="164">
        <v>0</v>
      </c>
      <c r="P291" s="158">
        <f>SUM(H291:O291)</f>
        <v>19416</v>
      </c>
    </row>
    <row r="292" spans="1:16" ht="16.5" customHeight="1" x14ac:dyDescent="0.25">
      <c r="A292" s="469"/>
      <c r="B292" s="470"/>
      <c r="C292" s="471"/>
      <c r="D292" s="472"/>
      <c r="E292" s="474"/>
      <c r="F292" s="165" t="s">
        <v>758</v>
      </c>
      <c r="G292" s="159" t="s">
        <v>410</v>
      </c>
      <c r="H292" s="160">
        <f>308+34</f>
        <v>342</v>
      </c>
      <c r="I292" s="160">
        <f>483+30</f>
        <v>513</v>
      </c>
      <c r="J292" s="160">
        <f>228+14</f>
        <v>242</v>
      </c>
      <c r="K292" s="166">
        <v>16</v>
      </c>
      <c r="L292" s="166">
        <v>0</v>
      </c>
      <c r="M292" s="166">
        <v>0</v>
      </c>
      <c r="N292" s="166">
        <v>0</v>
      </c>
      <c r="O292" s="166">
        <v>0</v>
      </c>
      <c r="P292" s="160">
        <f>SUM(H292:O292)</f>
        <v>1113</v>
      </c>
    </row>
    <row r="293" spans="1:16" ht="16.5" customHeight="1" x14ac:dyDescent="0.25">
      <c r="A293" s="469"/>
      <c r="B293" s="470"/>
      <c r="C293" s="471"/>
      <c r="D293" s="472"/>
      <c r="E293" s="474"/>
      <c r="F293" s="161"/>
      <c r="G293" s="161" t="s">
        <v>411</v>
      </c>
      <c r="H293" s="162">
        <f t="shared" ref="H293:P293" si="95">SUM(H291:H292)</f>
        <v>6814</v>
      </c>
      <c r="I293" s="162">
        <f t="shared" si="95"/>
        <v>6985</v>
      </c>
      <c r="J293" s="162">
        <f t="shared" si="95"/>
        <v>6714</v>
      </c>
      <c r="K293" s="162">
        <f t="shared" si="95"/>
        <v>16</v>
      </c>
      <c r="L293" s="162">
        <f t="shared" si="95"/>
        <v>0</v>
      </c>
      <c r="M293" s="162">
        <f t="shared" si="95"/>
        <v>0</v>
      </c>
      <c r="N293" s="162">
        <f t="shared" si="95"/>
        <v>0</v>
      </c>
      <c r="O293" s="162">
        <f t="shared" si="95"/>
        <v>0</v>
      </c>
      <c r="P293" s="162">
        <f t="shared" si="95"/>
        <v>20529</v>
      </c>
    </row>
    <row r="294" spans="1:16" ht="16.5" customHeight="1" x14ac:dyDescent="0.25">
      <c r="A294" s="469">
        <f>A291+1</f>
        <v>96</v>
      </c>
      <c r="B294" s="470" t="s">
        <v>405</v>
      </c>
      <c r="C294" s="471" t="s">
        <v>759</v>
      </c>
      <c r="D294" s="472">
        <v>43658</v>
      </c>
      <c r="E294" s="474" t="s">
        <v>591</v>
      </c>
      <c r="F294" s="167" t="s">
        <v>760</v>
      </c>
      <c r="G294" s="157" t="s">
        <v>409</v>
      </c>
      <c r="H294" s="158">
        <v>6380</v>
      </c>
      <c r="I294" s="158">
        <v>6380</v>
      </c>
      <c r="J294" s="164">
        <v>0</v>
      </c>
      <c r="K294" s="164">
        <v>0</v>
      </c>
      <c r="L294" s="164">
        <v>0</v>
      </c>
      <c r="M294" s="164">
        <v>0</v>
      </c>
      <c r="N294" s="164">
        <v>0</v>
      </c>
      <c r="O294" s="164">
        <v>0</v>
      </c>
      <c r="P294" s="158">
        <f>SUM(H294:O294)</f>
        <v>12760</v>
      </c>
    </row>
    <row r="295" spans="1:16" ht="16.5" customHeight="1" x14ac:dyDescent="0.25">
      <c r="A295" s="469"/>
      <c r="B295" s="470"/>
      <c r="C295" s="471"/>
      <c r="D295" s="472"/>
      <c r="E295" s="474"/>
      <c r="F295" s="165" t="s">
        <v>761</v>
      </c>
      <c r="G295" s="159" t="s">
        <v>410</v>
      </c>
      <c r="H295" s="160">
        <f>223+18</f>
        <v>241</v>
      </c>
      <c r="I295" s="160">
        <f>227+14</f>
        <v>241</v>
      </c>
      <c r="J295" s="166">
        <v>14</v>
      </c>
      <c r="K295" s="166">
        <v>0</v>
      </c>
      <c r="L295" s="166">
        <v>0</v>
      </c>
      <c r="M295" s="166">
        <v>0</v>
      </c>
      <c r="N295" s="166">
        <v>0</v>
      </c>
      <c r="O295" s="166">
        <v>0</v>
      </c>
      <c r="P295" s="160">
        <f>SUM(H295:O295)</f>
        <v>496</v>
      </c>
    </row>
    <row r="296" spans="1:16" ht="16.5" customHeight="1" x14ac:dyDescent="0.25">
      <c r="A296" s="469"/>
      <c r="B296" s="470"/>
      <c r="C296" s="471"/>
      <c r="D296" s="472"/>
      <c r="E296" s="474"/>
      <c r="F296" s="161"/>
      <c r="G296" s="161" t="s">
        <v>411</v>
      </c>
      <c r="H296" s="162">
        <f t="shared" ref="H296:P296" si="96">SUM(H294:H295)</f>
        <v>6621</v>
      </c>
      <c r="I296" s="162">
        <f t="shared" si="96"/>
        <v>6621</v>
      </c>
      <c r="J296" s="162">
        <f t="shared" si="96"/>
        <v>14</v>
      </c>
      <c r="K296" s="162">
        <f t="shared" si="96"/>
        <v>0</v>
      </c>
      <c r="L296" s="162">
        <f t="shared" si="96"/>
        <v>0</v>
      </c>
      <c r="M296" s="162">
        <f t="shared" si="96"/>
        <v>0</v>
      </c>
      <c r="N296" s="162">
        <f t="shared" si="96"/>
        <v>0</v>
      </c>
      <c r="O296" s="162">
        <f t="shared" si="96"/>
        <v>0</v>
      </c>
      <c r="P296" s="162">
        <f t="shared" si="96"/>
        <v>13256</v>
      </c>
    </row>
    <row r="297" spans="1:16" ht="16.5" customHeight="1" x14ac:dyDescent="0.25">
      <c r="A297" s="469">
        <f>A294+1</f>
        <v>97</v>
      </c>
      <c r="B297" s="470" t="s">
        <v>405</v>
      </c>
      <c r="C297" s="471" t="s">
        <v>762</v>
      </c>
      <c r="D297" s="472">
        <v>43733</v>
      </c>
      <c r="E297" s="474" t="s">
        <v>763</v>
      </c>
      <c r="F297" s="167" t="s">
        <v>764</v>
      </c>
      <c r="G297" s="157" t="s">
        <v>409</v>
      </c>
      <c r="H297" s="158">
        <v>5384</v>
      </c>
      <c r="I297" s="158">
        <v>5384</v>
      </c>
      <c r="J297" s="158">
        <v>5384</v>
      </c>
      <c r="K297" s="158">
        <v>5384</v>
      </c>
      <c r="L297" s="158">
        <v>5384</v>
      </c>
      <c r="M297" s="158">
        <v>5384</v>
      </c>
      <c r="N297" s="158">
        <v>4038</v>
      </c>
      <c r="O297" s="158">
        <v>0</v>
      </c>
      <c r="P297" s="158">
        <f>SUM(H297:O297)</f>
        <v>36342</v>
      </c>
    </row>
    <row r="298" spans="1:16" ht="16.5" customHeight="1" x14ac:dyDescent="0.25">
      <c r="A298" s="469"/>
      <c r="B298" s="470"/>
      <c r="C298" s="471"/>
      <c r="D298" s="472"/>
      <c r="E298" s="474"/>
      <c r="F298" s="165" t="s">
        <v>765</v>
      </c>
      <c r="G298" s="159" t="s">
        <v>410</v>
      </c>
      <c r="H298" s="160">
        <f>964+4</f>
        <v>968</v>
      </c>
      <c r="I298" s="160">
        <f>1259+77</f>
        <v>1336</v>
      </c>
      <c r="J298" s="160">
        <f>1032+62</f>
        <v>1094</v>
      </c>
      <c r="K298" s="160">
        <f>808+49</f>
        <v>857</v>
      </c>
      <c r="L298" s="160">
        <f>583+35</f>
        <v>618</v>
      </c>
      <c r="M298" s="160">
        <f>359+22</f>
        <v>381</v>
      </c>
      <c r="N298" s="173">
        <f>133+8</f>
        <v>141</v>
      </c>
      <c r="O298" s="160">
        <v>0</v>
      </c>
      <c r="P298" s="160">
        <f>SUM(H298:O298)</f>
        <v>5395</v>
      </c>
    </row>
    <row r="299" spans="1:16" ht="16.5" customHeight="1" x14ac:dyDescent="0.25">
      <c r="A299" s="469"/>
      <c r="B299" s="482"/>
      <c r="C299" s="484"/>
      <c r="D299" s="475"/>
      <c r="E299" s="478"/>
      <c r="F299" s="168"/>
      <c r="G299" s="168" t="s">
        <v>411</v>
      </c>
      <c r="H299" s="162">
        <f t="shared" ref="H299:P299" si="97">SUM(H297:H298)</f>
        <v>6352</v>
      </c>
      <c r="I299" s="162">
        <f t="shared" si="97"/>
        <v>6720</v>
      </c>
      <c r="J299" s="162">
        <f t="shared" si="97"/>
        <v>6478</v>
      </c>
      <c r="K299" s="162">
        <f t="shared" si="97"/>
        <v>6241</v>
      </c>
      <c r="L299" s="162">
        <f t="shared" si="97"/>
        <v>6002</v>
      </c>
      <c r="M299" s="162">
        <f t="shared" si="97"/>
        <v>5765</v>
      </c>
      <c r="N299" s="162">
        <f t="shared" si="97"/>
        <v>4179</v>
      </c>
      <c r="O299" s="162">
        <f t="shared" si="97"/>
        <v>0</v>
      </c>
      <c r="P299" s="162">
        <f t="shared" si="97"/>
        <v>41737</v>
      </c>
    </row>
    <row r="300" spans="1:16" ht="16.5" customHeight="1" x14ac:dyDescent="0.25">
      <c r="A300" s="469">
        <f>A297+1</f>
        <v>98</v>
      </c>
      <c r="B300" s="470" t="s">
        <v>405</v>
      </c>
      <c r="C300" s="481" t="s">
        <v>766</v>
      </c>
      <c r="D300" s="472">
        <v>43756</v>
      </c>
      <c r="E300" s="474" t="s">
        <v>767</v>
      </c>
      <c r="F300" s="167" t="s">
        <v>768</v>
      </c>
      <c r="G300" s="157" t="s">
        <v>409</v>
      </c>
      <c r="H300" s="158">
        <v>22752</v>
      </c>
      <c r="I300" s="158">
        <v>22752</v>
      </c>
      <c r="J300" s="158">
        <v>22752</v>
      </c>
      <c r="K300" s="158">
        <v>22752</v>
      </c>
      <c r="L300" s="158">
        <v>22752</v>
      </c>
      <c r="M300" s="158">
        <v>22752</v>
      </c>
      <c r="N300" s="158">
        <v>22752</v>
      </c>
      <c r="O300" s="158">
        <f>113760</f>
        <v>113760</v>
      </c>
      <c r="P300" s="158">
        <f>SUM(H300:O300)</f>
        <v>273024</v>
      </c>
    </row>
    <row r="301" spans="1:16" ht="16.5" customHeight="1" x14ac:dyDescent="0.25">
      <c r="A301" s="469"/>
      <c r="B301" s="470"/>
      <c r="C301" s="471"/>
      <c r="D301" s="472"/>
      <c r="E301" s="474"/>
      <c r="F301" s="165" t="s">
        <v>769</v>
      </c>
      <c r="G301" s="159" t="s">
        <v>410</v>
      </c>
      <c r="H301" s="160">
        <v>7644</v>
      </c>
      <c r="I301" s="160">
        <f>10145+627</f>
        <v>10772</v>
      </c>
      <c r="J301" s="160">
        <f>9343+568</f>
        <v>9911</v>
      </c>
      <c r="K301" s="160">
        <f>8395+510</f>
        <v>8905</v>
      </c>
      <c r="L301" s="160">
        <f>7446+452</f>
        <v>7898</v>
      </c>
      <c r="M301" s="160">
        <f>6512+396</f>
        <v>6908</v>
      </c>
      <c r="N301" s="173">
        <f>5545+337</f>
        <v>5882</v>
      </c>
      <c r="O301" s="173">
        <v>14338</v>
      </c>
      <c r="P301" s="160">
        <f>SUM(H301:O301)</f>
        <v>72258</v>
      </c>
    </row>
    <row r="302" spans="1:16" ht="16.5" customHeight="1" x14ac:dyDescent="0.25">
      <c r="A302" s="469"/>
      <c r="B302" s="470"/>
      <c r="C302" s="471"/>
      <c r="D302" s="472"/>
      <c r="E302" s="474"/>
      <c r="F302" s="161"/>
      <c r="G302" s="161" t="s">
        <v>411</v>
      </c>
      <c r="H302" s="162">
        <f t="shared" ref="H302:P302" si="98">SUM(H300:H301)</f>
        <v>30396</v>
      </c>
      <c r="I302" s="162">
        <f t="shared" si="98"/>
        <v>33524</v>
      </c>
      <c r="J302" s="162">
        <f t="shared" si="98"/>
        <v>32663</v>
      </c>
      <c r="K302" s="162">
        <f t="shared" si="98"/>
        <v>31657</v>
      </c>
      <c r="L302" s="162">
        <f t="shared" si="98"/>
        <v>30650</v>
      </c>
      <c r="M302" s="162">
        <f t="shared" si="98"/>
        <v>29660</v>
      </c>
      <c r="N302" s="162">
        <f t="shared" si="98"/>
        <v>28634</v>
      </c>
      <c r="O302" s="162">
        <f t="shared" si="98"/>
        <v>128098</v>
      </c>
      <c r="P302" s="162">
        <f t="shared" si="98"/>
        <v>345282</v>
      </c>
    </row>
    <row r="303" spans="1:16" ht="16.5" customHeight="1" x14ac:dyDescent="0.25">
      <c r="A303" s="469">
        <f>A300+1</f>
        <v>99</v>
      </c>
      <c r="B303" s="470" t="s">
        <v>405</v>
      </c>
      <c r="C303" s="493" t="s">
        <v>770</v>
      </c>
      <c r="D303" s="472">
        <v>43803</v>
      </c>
      <c r="E303" s="474" t="s">
        <v>771</v>
      </c>
      <c r="F303" s="167" t="s">
        <v>772</v>
      </c>
      <c r="G303" s="157" t="s">
        <v>409</v>
      </c>
      <c r="H303" s="164">
        <v>0</v>
      </c>
      <c r="I303" s="164">
        <v>0</v>
      </c>
      <c r="J303" s="164">
        <v>0</v>
      </c>
      <c r="K303" s="164">
        <v>0</v>
      </c>
      <c r="L303" s="164">
        <v>0</v>
      </c>
      <c r="M303" s="164">
        <v>0</v>
      </c>
      <c r="N303" s="164">
        <v>0</v>
      </c>
      <c r="O303" s="164">
        <v>0</v>
      </c>
      <c r="P303" s="158">
        <f>SUM(H303:O303)</f>
        <v>0</v>
      </c>
    </row>
    <row r="304" spans="1:16" ht="16.5" customHeight="1" x14ac:dyDescent="0.25">
      <c r="A304" s="469"/>
      <c r="B304" s="470"/>
      <c r="C304" s="493"/>
      <c r="D304" s="472"/>
      <c r="E304" s="474"/>
      <c r="F304" s="165" t="s">
        <v>773</v>
      </c>
      <c r="G304" s="159" t="s">
        <v>410</v>
      </c>
      <c r="H304" s="166">
        <v>3</v>
      </c>
      <c r="I304" s="166">
        <v>0</v>
      </c>
      <c r="J304" s="166">
        <v>0</v>
      </c>
      <c r="K304" s="166">
        <v>0</v>
      </c>
      <c r="L304" s="166">
        <v>0</v>
      </c>
      <c r="M304" s="166">
        <v>0</v>
      </c>
      <c r="N304" s="166">
        <v>0</v>
      </c>
      <c r="O304" s="166">
        <v>0</v>
      </c>
      <c r="P304" s="160">
        <f>SUM(H304:O304)</f>
        <v>3</v>
      </c>
    </row>
    <row r="305" spans="1:16" ht="16.5" customHeight="1" x14ac:dyDescent="0.25">
      <c r="A305" s="469"/>
      <c r="B305" s="470"/>
      <c r="C305" s="493"/>
      <c r="D305" s="472"/>
      <c r="E305" s="474"/>
      <c r="F305" s="161"/>
      <c r="G305" s="161" t="s">
        <v>411</v>
      </c>
      <c r="H305" s="162">
        <f t="shared" ref="H305:P305" si="99">SUM(H303:H304)</f>
        <v>3</v>
      </c>
      <c r="I305" s="162">
        <f t="shared" si="99"/>
        <v>0</v>
      </c>
      <c r="J305" s="162">
        <f t="shared" si="99"/>
        <v>0</v>
      </c>
      <c r="K305" s="162">
        <f t="shared" si="99"/>
        <v>0</v>
      </c>
      <c r="L305" s="162">
        <f t="shared" si="99"/>
        <v>0</v>
      </c>
      <c r="M305" s="162">
        <f t="shared" si="99"/>
        <v>0</v>
      </c>
      <c r="N305" s="162">
        <f t="shared" si="99"/>
        <v>0</v>
      </c>
      <c r="O305" s="162">
        <f t="shared" si="99"/>
        <v>0</v>
      </c>
      <c r="P305" s="162">
        <f t="shared" si="99"/>
        <v>3</v>
      </c>
    </row>
    <row r="306" spans="1:16" ht="16.5" customHeight="1" x14ac:dyDescent="0.25">
      <c r="A306" s="469">
        <f>A303+1</f>
        <v>100</v>
      </c>
      <c r="B306" s="470" t="s">
        <v>405</v>
      </c>
      <c r="C306" s="471" t="s">
        <v>774</v>
      </c>
      <c r="D306" s="472">
        <v>43812</v>
      </c>
      <c r="E306" s="474" t="s">
        <v>608</v>
      </c>
      <c r="F306" s="167" t="s">
        <v>775</v>
      </c>
      <c r="G306" s="157" t="s">
        <v>409</v>
      </c>
      <c r="H306" s="158">
        <v>54872</v>
      </c>
      <c r="I306" s="158">
        <v>54872</v>
      </c>
      <c r="J306" s="158">
        <v>54872</v>
      </c>
      <c r="K306" s="158">
        <v>54872</v>
      </c>
      <c r="L306" s="158">
        <v>54872</v>
      </c>
      <c r="M306" s="158">
        <v>54872</v>
      </c>
      <c r="N306" s="158">
        <v>25159</v>
      </c>
      <c r="O306" s="158">
        <v>0</v>
      </c>
      <c r="P306" s="158">
        <f>SUM(H306:O306)</f>
        <v>354391</v>
      </c>
    </row>
    <row r="307" spans="1:16" ht="16.5" customHeight="1" x14ac:dyDescent="0.25">
      <c r="A307" s="469"/>
      <c r="B307" s="470"/>
      <c r="C307" s="471"/>
      <c r="D307" s="472"/>
      <c r="E307" s="474"/>
      <c r="F307" s="165" t="s">
        <v>776</v>
      </c>
      <c r="G307" s="159" t="s">
        <v>410</v>
      </c>
      <c r="H307" s="160">
        <v>8809</v>
      </c>
      <c r="I307" s="160">
        <f>11385+739</f>
        <v>12124</v>
      </c>
      <c r="J307" s="160">
        <f>9849+598</f>
        <v>10447</v>
      </c>
      <c r="K307" s="160">
        <f>7565+459</f>
        <v>8024</v>
      </c>
      <c r="L307" s="160">
        <f>5274+320</f>
        <v>5594</v>
      </c>
      <c r="M307" s="160">
        <f>2988+182</f>
        <v>3170</v>
      </c>
      <c r="N307" s="160">
        <f>734+45</f>
        <v>779</v>
      </c>
      <c r="O307" s="160">
        <v>0</v>
      </c>
      <c r="P307" s="160">
        <f>SUM(H307:O307)</f>
        <v>48947</v>
      </c>
    </row>
    <row r="308" spans="1:16" ht="16.5" customHeight="1" x14ac:dyDescent="0.25">
      <c r="A308" s="469"/>
      <c r="B308" s="470"/>
      <c r="C308" s="471"/>
      <c r="D308" s="472"/>
      <c r="E308" s="474"/>
      <c r="F308" s="161"/>
      <c r="G308" s="161" t="s">
        <v>411</v>
      </c>
      <c r="H308" s="162">
        <f t="shared" ref="H308:P308" si="100">SUM(H306:H307)</f>
        <v>63681</v>
      </c>
      <c r="I308" s="162">
        <f t="shared" si="100"/>
        <v>66996</v>
      </c>
      <c r="J308" s="162">
        <f t="shared" si="100"/>
        <v>65319</v>
      </c>
      <c r="K308" s="162">
        <f t="shared" si="100"/>
        <v>62896</v>
      </c>
      <c r="L308" s="162">
        <f t="shared" si="100"/>
        <v>60466</v>
      </c>
      <c r="M308" s="162">
        <f t="shared" si="100"/>
        <v>58042</v>
      </c>
      <c r="N308" s="162">
        <f t="shared" si="100"/>
        <v>25938</v>
      </c>
      <c r="O308" s="162">
        <f t="shared" si="100"/>
        <v>0</v>
      </c>
      <c r="P308" s="162">
        <f t="shared" si="100"/>
        <v>403338</v>
      </c>
    </row>
    <row r="309" spans="1:16" ht="16.899999999999999" customHeight="1" x14ac:dyDescent="0.25">
      <c r="A309" s="469">
        <f>A306+1</f>
        <v>101</v>
      </c>
      <c r="B309" s="470" t="s">
        <v>405</v>
      </c>
      <c r="C309" s="493" t="s">
        <v>777</v>
      </c>
      <c r="D309" s="472">
        <v>44012</v>
      </c>
      <c r="E309" s="474" t="s">
        <v>778</v>
      </c>
      <c r="F309" s="167" t="s">
        <v>779</v>
      </c>
      <c r="G309" s="157" t="s">
        <v>409</v>
      </c>
      <c r="H309" s="158">
        <f t="shared" ref="H309:N309" si="101">28927*4-1</f>
        <v>115707</v>
      </c>
      <c r="I309" s="158">
        <f t="shared" si="101"/>
        <v>115707</v>
      </c>
      <c r="J309" s="158">
        <f t="shared" si="101"/>
        <v>115707</v>
      </c>
      <c r="K309" s="158">
        <f t="shared" si="101"/>
        <v>115707</v>
      </c>
      <c r="L309" s="158">
        <f t="shared" si="101"/>
        <v>115707</v>
      </c>
      <c r="M309" s="158">
        <f t="shared" si="101"/>
        <v>115707</v>
      </c>
      <c r="N309" s="158">
        <f t="shared" si="101"/>
        <v>115707</v>
      </c>
      <c r="O309" s="158">
        <f>1793464</f>
        <v>1793464</v>
      </c>
      <c r="P309" s="158">
        <f>SUM(H309:O309)</f>
        <v>2603413</v>
      </c>
    </row>
    <row r="310" spans="1:16" ht="16.149999999999999" customHeight="1" x14ac:dyDescent="0.25">
      <c r="A310" s="469"/>
      <c r="B310" s="470"/>
      <c r="C310" s="493"/>
      <c r="D310" s="472"/>
      <c r="E310" s="474"/>
      <c r="F310" s="165" t="s">
        <v>780</v>
      </c>
      <c r="G310" s="159" t="s">
        <v>410</v>
      </c>
      <c r="H310" s="160">
        <f>66793+5168</f>
        <v>71961</v>
      </c>
      <c r="I310" s="160">
        <v>126272</v>
      </c>
      <c r="J310" s="160">
        <v>120695</v>
      </c>
      <c r="K310" s="160">
        <v>114775</v>
      </c>
      <c r="L310" s="160">
        <v>108838</v>
      </c>
      <c r="M310" s="160">
        <v>103174</v>
      </c>
      <c r="N310" s="160">
        <v>96957</v>
      </c>
      <c r="O310" s="160">
        <f>91024+654108</f>
        <v>745132</v>
      </c>
      <c r="P310" s="160">
        <f>SUM(H310:O310)</f>
        <v>1487804</v>
      </c>
    </row>
    <row r="311" spans="1:16" ht="18.75" customHeight="1" x14ac:dyDescent="0.25">
      <c r="A311" s="469"/>
      <c r="B311" s="470"/>
      <c r="C311" s="493"/>
      <c r="D311" s="472"/>
      <c r="E311" s="474"/>
      <c r="F311" s="161"/>
      <c r="G311" s="161" t="s">
        <v>411</v>
      </c>
      <c r="H311" s="162">
        <f t="shared" ref="H311:O311" si="102">SUM(H309:H310)</f>
        <v>187668</v>
      </c>
      <c r="I311" s="162">
        <f t="shared" si="102"/>
        <v>241979</v>
      </c>
      <c r="J311" s="162">
        <f t="shared" si="102"/>
        <v>236402</v>
      </c>
      <c r="K311" s="162">
        <f t="shared" si="102"/>
        <v>230482</v>
      </c>
      <c r="L311" s="162">
        <f t="shared" si="102"/>
        <v>224545</v>
      </c>
      <c r="M311" s="162">
        <f t="shared" si="102"/>
        <v>218881</v>
      </c>
      <c r="N311" s="162">
        <f t="shared" si="102"/>
        <v>212664</v>
      </c>
      <c r="O311" s="162">
        <f t="shared" si="102"/>
        <v>2538596</v>
      </c>
      <c r="P311" s="162">
        <f>SUM(H311:O311)</f>
        <v>4091217</v>
      </c>
    </row>
    <row r="312" spans="1:16" ht="20.25" customHeight="1" x14ac:dyDescent="0.25">
      <c r="A312" s="469">
        <f>A309+1</f>
        <v>102</v>
      </c>
      <c r="B312" s="470" t="s">
        <v>405</v>
      </c>
      <c r="C312" s="481" t="s">
        <v>781</v>
      </c>
      <c r="D312" s="472">
        <v>44034</v>
      </c>
      <c r="E312" s="474" t="s">
        <v>782</v>
      </c>
      <c r="F312" s="167" t="s">
        <v>783</v>
      </c>
      <c r="G312" s="157" t="s">
        <v>409</v>
      </c>
      <c r="H312" s="158">
        <v>18780</v>
      </c>
      <c r="I312" s="158">
        <v>18780</v>
      </c>
      <c r="J312" s="158">
        <v>18780</v>
      </c>
      <c r="K312" s="158">
        <v>18780</v>
      </c>
      <c r="L312" s="158">
        <v>18780</v>
      </c>
      <c r="M312" s="158">
        <v>18780</v>
      </c>
      <c r="N312" s="158">
        <v>18780</v>
      </c>
      <c r="O312" s="158">
        <f>295785</f>
        <v>295785</v>
      </c>
      <c r="P312" s="158">
        <f>SUM(H312:O312)</f>
        <v>427245</v>
      </c>
    </row>
    <row r="313" spans="1:16" ht="15" customHeight="1" x14ac:dyDescent="0.25">
      <c r="A313" s="469"/>
      <c r="B313" s="470"/>
      <c r="C313" s="481"/>
      <c r="D313" s="472"/>
      <c r="E313" s="474"/>
      <c r="F313" s="165" t="s">
        <v>784</v>
      </c>
      <c r="G313" s="159" t="s">
        <v>410</v>
      </c>
      <c r="H313" s="160">
        <f>10358+696</f>
        <v>11054</v>
      </c>
      <c r="I313" s="160">
        <v>20646</v>
      </c>
      <c r="J313" s="160">
        <v>19568</v>
      </c>
      <c r="K313" s="160">
        <v>18619</v>
      </c>
      <c r="L313" s="160">
        <v>17669</v>
      </c>
      <c r="M313" s="160">
        <v>16762</v>
      </c>
      <c r="N313" s="173">
        <v>15765</v>
      </c>
      <c r="O313" s="173">
        <f>14815+108277</f>
        <v>123092</v>
      </c>
      <c r="P313" s="160">
        <f>SUM(H313:O313)</f>
        <v>243175</v>
      </c>
    </row>
    <row r="314" spans="1:16" ht="16.149999999999999" customHeight="1" x14ac:dyDescent="0.25">
      <c r="A314" s="469"/>
      <c r="B314" s="482"/>
      <c r="C314" s="483"/>
      <c r="D314" s="475"/>
      <c r="E314" s="478"/>
      <c r="F314" s="168"/>
      <c r="G314" s="168" t="s">
        <v>411</v>
      </c>
      <c r="H314" s="162">
        <f t="shared" ref="H314:P314" si="103">SUM(H312:H313)</f>
        <v>29834</v>
      </c>
      <c r="I314" s="162">
        <f t="shared" si="103"/>
        <v>39426</v>
      </c>
      <c r="J314" s="162">
        <f t="shared" si="103"/>
        <v>38348</v>
      </c>
      <c r="K314" s="162">
        <f t="shared" si="103"/>
        <v>37399</v>
      </c>
      <c r="L314" s="162">
        <f t="shared" si="103"/>
        <v>36449</v>
      </c>
      <c r="M314" s="162">
        <f t="shared" si="103"/>
        <v>35542</v>
      </c>
      <c r="N314" s="162">
        <f t="shared" si="103"/>
        <v>34545</v>
      </c>
      <c r="O314" s="162">
        <f t="shared" si="103"/>
        <v>418877</v>
      </c>
      <c r="P314" s="162">
        <f t="shared" si="103"/>
        <v>670420</v>
      </c>
    </row>
    <row r="315" spans="1:16" ht="17.45" customHeight="1" x14ac:dyDescent="0.25">
      <c r="A315" s="469">
        <f>A312+1</f>
        <v>103</v>
      </c>
      <c r="B315" s="470" t="s">
        <v>405</v>
      </c>
      <c r="C315" s="495" t="s">
        <v>785</v>
      </c>
      <c r="D315" s="474" t="s">
        <v>786</v>
      </c>
      <c r="E315" s="474" t="s">
        <v>496</v>
      </c>
      <c r="F315" s="167" t="s">
        <v>787</v>
      </c>
      <c r="G315" s="157" t="s">
        <v>409</v>
      </c>
      <c r="H315" s="158">
        <f>5002*4</f>
        <v>20008</v>
      </c>
      <c r="I315" s="158">
        <f>5002*4</f>
        <v>20008</v>
      </c>
      <c r="J315" s="158">
        <f>5002*3</f>
        <v>15006</v>
      </c>
      <c r="K315" s="158">
        <v>0</v>
      </c>
      <c r="L315" s="158">
        <v>0</v>
      </c>
      <c r="M315" s="158">
        <v>0</v>
      </c>
      <c r="N315" s="158">
        <v>0</v>
      </c>
      <c r="O315" s="158">
        <v>0</v>
      </c>
      <c r="P315" s="158">
        <f>SUM(H315:O315)</f>
        <v>55022</v>
      </c>
    </row>
    <row r="316" spans="1:16" ht="16.149999999999999" customHeight="1" x14ac:dyDescent="0.25">
      <c r="A316" s="469"/>
      <c r="B316" s="470"/>
      <c r="C316" s="495"/>
      <c r="D316" s="474"/>
      <c r="E316" s="474"/>
      <c r="F316" s="165" t="s">
        <v>788</v>
      </c>
      <c r="G316" s="159" t="s">
        <v>410</v>
      </c>
      <c r="H316" s="160">
        <v>132</v>
      </c>
      <c r="I316" s="160">
        <v>81</v>
      </c>
      <c r="J316" s="160">
        <v>28</v>
      </c>
      <c r="K316" s="160">
        <v>0</v>
      </c>
      <c r="L316" s="160">
        <v>0</v>
      </c>
      <c r="M316" s="160">
        <v>0</v>
      </c>
      <c r="N316" s="160">
        <v>0</v>
      </c>
      <c r="O316" s="160">
        <v>0</v>
      </c>
      <c r="P316" s="160">
        <f>SUM(H316:O316)</f>
        <v>241</v>
      </c>
    </row>
    <row r="317" spans="1:16" ht="16.899999999999999" customHeight="1" x14ac:dyDescent="0.25">
      <c r="A317" s="469"/>
      <c r="B317" s="470"/>
      <c r="C317" s="495"/>
      <c r="D317" s="474"/>
      <c r="E317" s="474"/>
      <c r="F317" s="161"/>
      <c r="G317" s="161" t="s">
        <v>411</v>
      </c>
      <c r="H317" s="162">
        <f t="shared" ref="H317:P317" si="104">SUM(H315:H316)</f>
        <v>20140</v>
      </c>
      <c r="I317" s="162">
        <f t="shared" si="104"/>
        <v>20089</v>
      </c>
      <c r="J317" s="162">
        <f t="shared" si="104"/>
        <v>15034</v>
      </c>
      <c r="K317" s="162">
        <f t="shared" si="104"/>
        <v>0</v>
      </c>
      <c r="L317" s="162">
        <f t="shared" si="104"/>
        <v>0</v>
      </c>
      <c r="M317" s="162">
        <f t="shared" si="104"/>
        <v>0</v>
      </c>
      <c r="N317" s="162">
        <f t="shared" si="104"/>
        <v>0</v>
      </c>
      <c r="O317" s="162">
        <f t="shared" si="104"/>
        <v>0</v>
      </c>
      <c r="P317" s="162">
        <f t="shared" si="104"/>
        <v>55263</v>
      </c>
    </row>
    <row r="318" spans="1:16" ht="16.5" customHeight="1" x14ac:dyDescent="0.25">
      <c r="A318" s="469">
        <f>A315+1</f>
        <v>104</v>
      </c>
      <c r="B318" s="470" t="s">
        <v>405</v>
      </c>
      <c r="C318" s="481" t="s">
        <v>789</v>
      </c>
      <c r="D318" s="472">
        <v>44053</v>
      </c>
      <c r="E318" s="474" t="s">
        <v>620</v>
      </c>
      <c r="F318" s="167" t="s">
        <v>790</v>
      </c>
      <c r="G318" s="157" t="s">
        <v>409</v>
      </c>
      <c r="H318" s="158">
        <v>22112</v>
      </c>
      <c r="I318" s="158">
        <v>22112</v>
      </c>
      <c r="J318" s="158">
        <v>22112</v>
      </c>
      <c r="K318" s="158">
        <v>22112</v>
      </c>
      <c r="L318" s="158">
        <v>22112</v>
      </c>
      <c r="M318" s="158">
        <v>22112</v>
      </c>
      <c r="N318" s="158">
        <v>22112</v>
      </c>
      <c r="O318" s="158">
        <f>127144</f>
        <v>127144</v>
      </c>
      <c r="P318" s="158">
        <f>SUM(H318:O318)</f>
        <v>281928</v>
      </c>
    </row>
    <row r="319" spans="1:16" ht="16.5" customHeight="1" x14ac:dyDescent="0.25">
      <c r="A319" s="469"/>
      <c r="B319" s="470"/>
      <c r="C319" s="481"/>
      <c r="D319" s="472"/>
      <c r="E319" s="474"/>
      <c r="F319" s="165" t="s">
        <v>791</v>
      </c>
      <c r="G319" s="159" t="s">
        <v>410</v>
      </c>
      <c r="H319" s="160">
        <f>5703+321</f>
        <v>6024</v>
      </c>
      <c r="I319" s="160">
        <v>12362</v>
      </c>
      <c r="J319" s="160">
        <v>11266</v>
      </c>
      <c r="K319" s="160">
        <v>10204</v>
      </c>
      <c r="L319" s="160">
        <v>9140</v>
      </c>
      <c r="M319" s="160">
        <v>8096</v>
      </c>
      <c r="N319" s="173">
        <v>7011</v>
      </c>
      <c r="O319" s="173">
        <f>5947+13758</f>
        <v>19705</v>
      </c>
      <c r="P319" s="160">
        <f>SUM(H319:O319)</f>
        <v>83808</v>
      </c>
    </row>
    <row r="320" spans="1:16" ht="16.5" customHeight="1" x14ac:dyDescent="0.25">
      <c r="A320" s="469"/>
      <c r="B320" s="470"/>
      <c r="C320" s="481"/>
      <c r="D320" s="472"/>
      <c r="E320" s="474"/>
      <c r="F320" s="161"/>
      <c r="G320" s="161" t="s">
        <v>411</v>
      </c>
      <c r="H320" s="162">
        <f t="shared" ref="H320:P320" si="105">SUM(H318:H319)</f>
        <v>28136</v>
      </c>
      <c r="I320" s="162">
        <f t="shared" si="105"/>
        <v>34474</v>
      </c>
      <c r="J320" s="162">
        <f t="shared" si="105"/>
        <v>33378</v>
      </c>
      <c r="K320" s="162">
        <f t="shared" si="105"/>
        <v>32316</v>
      </c>
      <c r="L320" s="162">
        <f t="shared" si="105"/>
        <v>31252</v>
      </c>
      <c r="M320" s="162">
        <f t="shared" si="105"/>
        <v>30208</v>
      </c>
      <c r="N320" s="162">
        <f t="shared" si="105"/>
        <v>29123</v>
      </c>
      <c r="O320" s="162">
        <f t="shared" si="105"/>
        <v>146849</v>
      </c>
      <c r="P320" s="162">
        <f t="shared" si="105"/>
        <v>365736</v>
      </c>
    </row>
    <row r="321" spans="1:16" ht="16.5" customHeight="1" x14ac:dyDescent="0.25">
      <c r="A321" s="469">
        <f>A318+1</f>
        <v>105</v>
      </c>
      <c r="B321" s="470" t="s">
        <v>405</v>
      </c>
      <c r="C321" s="481" t="s">
        <v>792</v>
      </c>
      <c r="D321" s="472">
        <v>44053</v>
      </c>
      <c r="E321" s="474" t="s">
        <v>620</v>
      </c>
      <c r="F321" s="167" t="s">
        <v>793</v>
      </c>
      <c r="G321" s="157" t="s">
        <v>409</v>
      </c>
      <c r="H321" s="158">
        <v>39248</v>
      </c>
      <c r="I321" s="158">
        <v>39248</v>
      </c>
      <c r="J321" s="158">
        <v>39248</v>
      </c>
      <c r="K321" s="158">
        <v>39248</v>
      </c>
      <c r="L321" s="158">
        <v>39248</v>
      </c>
      <c r="M321" s="158">
        <v>39248</v>
      </c>
      <c r="N321" s="158">
        <v>39248</v>
      </c>
      <c r="O321" s="158">
        <f>225676</f>
        <v>225676</v>
      </c>
      <c r="P321" s="158">
        <f>SUM(H321:O321)</f>
        <v>500412</v>
      </c>
    </row>
    <row r="322" spans="1:16" ht="16.5" customHeight="1" x14ac:dyDescent="0.25">
      <c r="A322" s="469"/>
      <c r="B322" s="470"/>
      <c r="C322" s="481"/>
      <c r="D322" s="472"/>
      <c r="E322" s="474"/>
      <c r="F322" s="165" t="s">
        <v>794</v>
      </c>
      <c r="G322" s="159" t="s">
        <v>410</v>
      </c>
      <c r="H322" s="160">
        <f>10123+570</f>
        <v>10693</v>
      </c>
      <c r="I322" s="160">
        <v>21941</v>
      </c>
      <c r="J322" s="160">
        <v>19996</v>
      </c>
      <c r="K322" s="160">
        <v>18112</v>
      </c>
      <c r="L322" s="160">
        <v>16224</v>
      </c>
      <c r="M322" s="160">
        <v>14371</v>
      </c>
      <c r="N322" s="173">
        <v>12444</v>
      </c>
      <c r="O322" s="173">
        <f>10556+24420</f>
        <v>34976</v>
      </c>
      <c r="P322" s="160">
        <f>SUM(H322:O322)</f>
        <v>148757</v>
      </c>
    </row>
    <row r="323" spans="1:16" ht="16.5" customHeight="1" x14ac:dyDescent="0.25">
      <c r="A323" s="469"/>
      <c r="B323" s="470"/>
      <c r="C323" s="481"/>
      <c r="D323" s="472"/>
      <c r="E323" s="474"/>
      <c r="F323" s="161"/>
      <c r="G323" s="161" t="s">
        <v>411</v>
      </c>
      <c r="H323" s="162">
        <f t="shared" ref="H323:P323" si="106">SUM(H321:H322)</f>
        <v>49941</v>
      </c>
      <c r="I323" s="162">
        <f t="shared" si="106"/>
        <v>61189</v>
      </c>
      <c r="J323" s="162">
        <f t="shared" si="106"/>
        <v>59244</v>
      </c>
      <c r="K323" s="162">
        <f t="shared" si="106"/>
        <v>57360</v>
      </c>
      <c r="L323" s="162">
        <f t="shared" si="106"/>
        <v>55472</v>
      </c>
      <c r="M323" s="162">
        <f t="shared" si="106"/>
        <v>53619</v>
      </c>
      <c r="N323" s="162">
        <f t="shared" si="106"/>
        <v>51692</v>
      </c>
      <c r="O323" s="162">
        <f t="shared" si="106"/>
        <v>260652</v>
      </c>
      <c r="P323" s="162">
        <f t="shared" si="106"/>
        <v>649169</v>
      </c>
    </row>
    <row r="324" spans="1:16" ht="16.5" customHeight="1" x14ac:dyDescent="0.25">
      <c r="A324" s="469">
        <f>A321+1</f>
        <v>106</v>
      </c>
      <c r="B324" s="470" t="s">
        <v>405</v>
      </c>
      <c r="C324" s="493" t="s">
        <v>795</v>
      </c>
      <c r="D324" s="472">
        <v>44076</v>
      </c>
      <c r="E324" s="474" t="s">
        <v>796</v>
      </c>
      <c r="F324" s="167" t="s">
        <v>797</v>
      </c>
      <c r="G324" s="157" t="s">
        <v>409</v>
      </c>
      <c r="H324" s="158">
        <v>21616</v>
      </c>
      <c r="I324" s="158">
        <v>21616</v>
      </c>
      <c r="J324" s="158">
        <v>21616</v>
      </c>
      <c r="K324" s="158">
        <v>21616</v>
      </c>
      <c r="L324" s="158">
        <v>21616</v>
      </c>
      <c r="M324" s="158">
        <v>21616</v>
      </c>
      <c r="N324" s="158">
        <v>21616</v>
      </c>
      <c r="O324" s="158">
        <f>124292</f>
        <v>124292</v>
      </c>
      <c r="P324" s="158">
        <f>SUM(H324:O324)</f>
        <v>275604</v>
      </c>
    </row>
    <row r="325" spans="1:16" ht="16.5" customHeight="1" x14ac:dyDescent="0.25">
      <c r="A325" s="469"/>
      <c r="B325" s="470"/>
      <c r="C325" s="493"/>
      <c r="D325" s="472"/>
      <c r="E325" s="474"/>
      <c r="F325" s="165" t="s">
        <v>798</v>
      </c>
      <c r="G325" s="159" t="s">
        <v>410</v>
      </c>
      <c r="H325" s="160">
        <f>7091+168</f>
        <v>7259</v>
      </c>
      <c r="I325" s="160">
        <v>11995</v>
      </c>
      <c r="J325" s="160">
        <v>10932</v>
      </c>
      <c r="K325" s="160">
        <v>9902</v>
      </c>
      <c r="L325" s="160">
        <v>8869</v>
      </c>
      <c r="M325" s="160">
        <v>7856</v>
      </c>
      <c r="N325" s="173">
        <v>6802</v>
      </c>
      <c r="O325" s="173">
        <f>5771+13372</f>
        <v>19143</v>
      </c>
      <c r="P325" s="160">
        <f>SUM(H325:O325)</f>
        <v>82758</v>
      </c>
    </row>
    <row r="326" spans="1:16" ht="16.5" customHeight="1" x14ac:dyDescent="0.25">
      <c r="A326" s="469"/>
      <c r="B326" s="470"/>
      <c r="C326" s="493"/>
      <c r="D326" s="472"/>
      <c r="E326" s="474"/>
      <c r="F326" s="161"/>
      <c r="G326" s="161" t="s">
        <v>411</v>
      </c>
      <c r="H326" s="162">
        <f t="shared" ref="H326:P326" si="107">SUM(H324:H325)</f>
        <v>28875</v>
      </c>
      <c r="I326" s="162">
        <f t="shared" si="107"/>
        <v>33611</v>
      </c>
      <c r="J326" s="162">
        <f t="shared" si="107"/>
        <v>32548</v>
      </c>
      <c r="K326" s="162">
        <f t="shared" si="107"/>
        <v>31518</v>
      </c>
      <c r="L326" s="162">
        <f t="shared" si="107"/>
        <v>30485</v>
      </c>
      <c r="M326" s="162">
        <f t="shared" si="107"/>
        <v>29472</v>
      </c>
      <c r="N326" s="162">
        <f t="shared" si="107"/>
        <v>28418</v>
      </c>
      <c r="O326" s="162">
        <f t="shared" si="107"/>
        <v>143435</v>
      </c>
      <c r="P326" s="162">
        <f t="shared" si="107"/>
        <v>358362</v>
      </c>
    </row>
    <row r="327" spans="1:16" ht="16.5" customHeight="1" x14ac:dyDescent="0.25">
      <c r="A327" s="469">
        <f>A324+1</f>
        <v>107</v>
      </c>
      <c r="B327" s="470" t="s">
        <v>405</v>
      </c>
      <c r="C327" s="471" t="s">
        <v>799</v>
      </c>
      <c r="D327" s="472">
        <v>44111</v>
      </c>
      <c r="E327" s="474" t="s">
        <v>800</v>
      </c>
      <c r="F327" s="167" t="s">
        <v>801</v>
      </c>
      <c r="G327" s="157" t="s">
        <v>409</v>
      </c>
      <c r="H327" s="158">
        <v>29196</v>
      </c>
      <c r="I327" s="158">
        <v>29196</v>
      </c>
      <c r="J327" s="158">
        <v>29196</v>
      </c>
      <c r="K327" s="158">
        <v>29196</v>
      </c>
      <c r="L327" s="158">
        <v>29196</v>
      </c>
      <c r="M327" s="158">
        <v>29196</v>
      </c>
      <c r="N327" s="158">
        <v>29196</v>
      </c>
      <c r="O327" s="158">
        <f>459837</f>
        <v>459837</v>
      </c>
      <c r="P327" s="158">
        <f>SUM(H327:O327)</f>
        <v>664209</v>
      </c>
    </row>
    <row r="328" spans="1:16" ht="16.5" customHeight="1" x14ac:dyDescent="0.25">
      <c r="A328" s="469"/>
      <c r="B328" s="470"/>
      <c r="C328" s="471"/>
      <c r="D328" s="472"/>
      <c r="E328" s="474"/>
      <c r="F328" s="165" t="s">
        <v>802</v>
      </c>
      <c r="G328" s="159" t="s">
        <v>410</v>
      </c>
      <c r="H328" s="160">
        <v>21545</v>
      </c>
      <c r="I328" s="160">
        <v>31491</v>
      </c>
      <c r="J328" s="160">
        <v>30122</v>
      </c>
      <c r="K328" s="160">
        <v>28662</v>
      </c>
      <c r="L328" s="160">
        <v>27198</v>
      </c>
      <c r="M328" s="160">
        <v>25803</v>
      </c>
      <c r="N328" s="173">
        <v>24270</v>
      </c>
      <c r="O328" s="173">
        <f>22806+166741</f>
        <v>189547</v>
      </c>
      <c r="P328" s="160">
        <f>SUM(H328:O328)</f>
        <v>378638</v>
      </c>
    </row>
    <row r="329" spans="1:16" ht="16.5" customHeight="1" x14ac:dyDescent="0.25">
      <c r="A329" s="469"/>
      <c r="B329" s="470"/>
      <c r="C329" s="471"/>
      <c r="D329" s="472"/>
      <c r="E329" s="474"/>
      <c r="F329" s="161"/>
      <c r="G329" s="161" t="s">
        <v>411</v>
      </c>
      <c r="H329" s="162">
        <f t="shared" ref="H329:P329" si="108">SUM(H327:H328)</f>
        <v>50741</v>
      </c>
      <c r="I329" s="162">
        <f t="shared" si="108"/>
        <v>60687</v>
      </c>
      <c r="J329" s="162">
        <f t="shared" si="108"/>
        <v>59318</v>
      </c>
      <c r="K329" s="162">
        <f t="shared" si="108"/>
        <v>57858</v>
      </c>
      <c r="L329" s="162">
        <f t="shared" si="108"/>
        <v>56394</v>
      </c>
      <c r="M329" s="162">
        <f t="shared" si="108"/>
        <v>54999</v>
      </c>
      <c r="N329" s="162">
        <f t="shared" si="108"/>
        <v>53466</v>
      </c>
      <c r="O329" s="162">
        <f t="shared" si="108"/>
        <v>649384</v>
      </c>
      <c r="P329" s="162">
        <f t="shared" si="108"/>
        <v>1042847</v>
      </c>
    </row>
    <row r="330" spans="1:16" ht="16.5" customHeight="1" x14ac:dyDescent="0.25">
      <c r="A330" s="469">
        <f>A327+1</f>
        <v>108</v>
      </c>
      <c r="B330" s="470" t="s">
        <v>405</v>
      </c>
      <c r="C330" s="471" t="s">
        <v>803</v>
      </c>
      <c r="D330" s="472">
        <v>44118</v>
      </c>
      <c r="E330" s="474" t="s">
        <v>500</v>
      </c>
      <c r="F330" s="167" t="s">
        <v>804</v>
      </c>
      <c r="G330" s="157" t="s">
        <v>409</v>
      </c>
      <c r="H330" s="158">
        <v>7928</v>
      </c>
      <c r="I330" s="158">
        <v>7928</v>
      </c>
      <c r="J330" s="158">
        <v>7928</v>
      </c>
      <c r="K330" s="158">
        <v>7928</v>
      </c>
      <c r="L330" s="158">
        <v>7928</v>
      </c>
      <c r="M330" s="158">
        <v>7928</v>
      </c>
      <c r="N330" s="158">
        <v>7928</v>
      </c>
      <c r="O330" s="158">
        <v>5946</v>
      </c>
      <c r="P330" s="158">
        <f>SUM(H330:O330)</f>
        <v>61442</v>
      </c>
    </row>
    <row r="331" spans="1:16" ht="16.5" customHeight="1" x14ac:dyDescent="0.25">
      <c r="A331" s="469"/>
      <c r="B331" s="470"/>
      <c r="C331" s="471"/>
      <c r="D331" s="472"/>
      <c r="E331" s="474"/>
      <c r="F331" s="165" t="s">
        <v>805</v>
      </c>
      <c r="G331" s="159" t="s">
        <v>410</v>
      </c>
      <c r="H331" s="160">
        <v>1864</v>
      </c>
      <c r="I331" s="160">
        <v>2437</v>
      </c>
      <c r="J331" s="160">
        <v>2087</v>
      </c>
      <c r="K331" s="160">
        <v>1715</v>
      </c>
      <c r="L331" s="160">
        <v>1341</v>
      </c>
      <c r="M331" s="160">
        <v>970</v>
      </c>
      <c r="N331" s="173">
        <v>594</v>
      </c>
      <c r="O331" s="173">
        <v>221</v>
      </c>
      <c r="P331" s="160">
        <f>SUM(H331:O331)</f>
        <v>11229</v>
      </c>
    </row>
    <row r="332" spans="1:16" ht="16.5" customHeight="1" x14ac:dyDescent="0.25">
      <c r="A332" s="469"/>
      <c r="B332" s="470"/>
      <c r="C332" s="471"/>
      <c r="D332" s="472"/>
      <c r="E332" s="474"/>
      <c r="F332" s="161"/>
      <c r="G332" s="161" t="s">
        <v>411</v>
      </c>
      <c r="H332" s="162">
        <f t="shared" ref="H332:P332" si="109">SUM(H330:H331)</f>
        <v>9792</v>
      </c>
      <c r="I332" s="162">
        <f t="shared" si="109"/>
        <v>10365</v>
      </c>
      <c r="J332" s="162">
        <f t="shared" si="109"/>
        <v>10015</v>
      </c>
      <c r="K332" s="162">
        <f t="shared" si="109"/>
        <v>9643</v>
      </c>
      <c r="L332" s="162">
        <f t="shared" si="109"/>
        <v>9269</v>
      </c>
      <c r="M332" s="162">
        <f t="shared" si="109"/>
        <v>8898</v>
      </c>
      <c r="N332" s="162">
        <f t="shared" si="109"/>
        <v>8522</v>
      </c>
      <c r="O332" s="162">
        <f t="shared" si="109"/>
        <v>6167</v>
      </c>
      <c r="P332" s="162">
        <f t="shared" si="109"/>
        <v>72671</v>
      </c>
    </row>
    <row r="333" spans="1:16" ht="16.5" customHeight="1" x14ac:dyDescent="0.25">
      <c r="A333" s="469">
        <f>A330+1</f>
        <v>109</v>
      </c>
      <c r="B333" s="470" t="s">
        <v>405</v>
      </c>
      <c r="C333" s="481" t="s">
        <v>806</v>
      </c>
      <c r="D333" s="472">
        <v>44169</v>
      </c>
      <c r="E333" s="474" t="s">
        <v>807</v>
      </c>
      <c r="F333" s="167" t="s">
        <v>808</v>
      </c>
      <c r="G333" s="157" t="s">
        <v>409</v>
      </c>
      <c r="H333" s="158">
        <v>25156</v>
      </c>
      <c r="I333" s="158">
        <v>25156</v>
      </c>
      <c r="J333" s="158">
        <v>25156</v>
      </c>
      <c r="K333" s="158">
        <v>25156</v>
      </c>
      <c r="L333" s="158">
        <v>25156</v>
      </c>
      <c r="M333" s="158">
        <v>25156</v>
      </c>
      <c r="N333" s="158">
        <v>25156</v>
      </c>
      <c r="O333" s="158">
        <f>150936</f>
        <v>150936</v>
      </c>
      <c r="P333" s="158">
        <f>SUM(H333:O333)</f>
        <v>327028</v>
      </c>
    </row>
    <row r="334" spans="1:16" ht="16.5" customHeight="1" x14ac:dyDescent="0.25">
      <c r="A334" s="469"/>
      <c r="B334" s="470"/>
      <c r="C334" s="471"/>
      <c r="D334" s="472"/>
      <c r="E334" s="474"/>
      <c r="F334" s="165" t="s">
        <v>809</v>
      </c>
      <c r="G334" s="159" t="s">
        <v>410</v>
      </c>
      <c r="H334" s="160">
        <v>9145</v>
      </c>
      <c r="I334" s="160">
        <v>13454</v>
      </c>
      <c r="J334" s="160">
        <v>12950</v>
      </c>
      <c r="K334" s="160">
        <v>11758</v>
      </c>
      <c r="L334" s="160">
        <v>10563</v>
      </c>
      <c r="M334" s="160">
        <v>9392</v>
      </c>
      <c r="N334" s="173">
        <v>8172</v>
      </c>
      <c r="O334" s="173">
        <f>6978+17036</f>
        <v>24014</v>
      </c>
      <c r="P334" s="160">
        <f>SUM(H334:O334)</f>
        <v>99448</v>
      </c>
    </row>
    <row r="335" spans="1:16" ht="16.5" customHeight="1" x14ac:dyDescent="0.25">
      <c r="A335" s="469"/>
      <c r="B335" s="470"/>
      <c r="C335" s="471"/>
      <c r="D335" s="472"/>
      <c r="E335" s="474"/>
      <c r="F335" s="161"/>
      <c r="G335" s="161" t="s">
        <v>411</v>
      </c>
      <c r="H335" s="162">
        <f t="shared" ref="H335:P335" si="110">SUM(H333:H334)</f>
        <v>34301</v>
      </c>
      <c r="I335" s="162">
        <f t="shared" si="110"/>
        <v>38610</v>
      </c>
      <c r="J335" s="162">
        <f t="shared" si="110"/>
        <v>38106</v>
      </c>
      <c r="K335" s="162">
        <f t="shared" si="110"/>
        <v>36914</v>
      </c>
      <c r="L335" s="162">
        <f t="shared" si="110"/>
        <v>35719</v>
      </c>
      <c r="M335" s="162">
        <f t="shared" si="110"/>
        <v>34548</v>
      </c>
      <c r="N335" s="162">
        <f t="shared" si="110"/>
        <v>33328</v>
      </c>
      <c r="O335" s="162">
        <f t="shared" si="110"/>
        <v>174950</v>
      </c>
      <c r="P335" s="162">
        <f t="shared" si="110"/>
        <v>426476</v>
      </c>
    </row>
    <row r="336" spans="1:16" ht="16.5" customHeight="1" x14ac:dyDescent="0.25">
      <c r="A336" s="469">
        <f>A333+1</f>
        <v>110</v>
      </c>
      <c r="B336" s="470" t="s">
        <v>405</v>
      </c>
      <c r="C336" s="481" t="s">
        <v>810</v>
      </c>
      <c r="D336" s="472">
        <v>44169</v>
      </c>
      <c r="E336" s="474" t="s">
        <v>811</v>
      </c>
      <c r="F336" s="167" t="s">
        <v>812</v>
      </c>
      <c r="G336" s="157" t="s">
        <v>409</v>
      </c>
      <c r="H336" s="158">
        <v>43008</v>
      </c>
      <c r="I336" s="158">
        <v>43008</v>
      </c>
      <c r="J336" s="158">
        <v>43008</v>
      </c>
      <c r="K336" s="158">
        <v>43008</v>
      </c>
      <c r="L336" s="158">
        <v>43008</v>
      </c>
      <c r="M336" s="158">
        <v>43008</v>
      </c>
      <c r="N336" s="158">
        <v>43008</v>
      </c>
      <c r="O336" s="158">
        <f>505293-32205</f>
        <v>473088</v>
      </c>
      <c r="P336" s="158">
        <f>SUM(H336:O336)</f>
        <v>774144</v>
      </c>
    </row>
    <row r="337" spans="1:16" ht="16.5" customHeight="1" x14ac:dyDescent="0.25">
      <c r="A337" s="469"/>
      <c r="B337" s="470"/>
      <c r="C337" s="471"/>
      <c r="D337" s="472"/>
      <c r="E337" s="474"/>
      <c r="F337" s="165" t="s">
        <v>813</v>
      </c>
      <c r="G337" s="159" t="s">
        <v>410</v>
      </c>
      <c r="H337" s="160">
        <f>20396+1433</f>
        <v>21829</v>
      </c>
      <c r="I337" s="160">
        <v>33340</v>
      </c>
      <c r="J337" s="160">
        <v>32922</v>
      </c>
      <c r="K337" s="160">
        <v>30848</v>
      </c>
      <c r="L337" s="160">
        <v>28769</v>
      </c>
      <c r="M337" s="160">
        <v>26759</v>
      </c>
      <c r="N337" s="173">
        <v>24607</v>
      </c>
      <c r="O337" s="173">
        <f>22530+111205</f>
        <v>133735</v>
      </c>
      <c r="P337" s="160">
        <f>SUM(H337:O337)</f>
        <v>332809</v>
      </c>
    </row>
    <row r="338" spans="1:16" ht="16.5" customHeight="1" x14ac:dyDescent="0.25">
      <c r="A338" s="469"/>
      <c r="B338" s="470"/>
      <c r="C338" s="471"/>
      <c r="D338" s="472"/>
      <c r="E338" s="474"/>
      <c r="F338" s="161"/>
      <c r="G338" s="161" t="s">
        <v>411</v>
      </c>
      <c r="H338" s="162">
        <f t="shared" ref="H338:P341" si="111">SUM(H336:H337)</f>
        <v>64837</v>
      </c>
      <c r="I338" s="162">
        <f t="shared" si="111"/>
        <v>76348</v>
      </c>
      <c r="J338" s="162">
        <f t="shared" si="111"/>
        <v>75930</v>
      </c>
      <c r="K338" s="162">
        <f t="shared" si="111"/>
        <v>73856</v>
      </c>
      <c r="L338" s="162">
        <f t="shared" si="111"/>
        <v>71777</v>
      </c>
      <c r="M338" s="162">
        <f t="shared" si="111"/>
        <v>69767</v>
      </c>
      <c r="N338" s="162">
        <f t="shared" si="111"/>
        <v>67615</v>
      </c>
      <c r="O338" s="162">
        <f t="shared" si="111"/>
        <v>606823</v>
      </c>
      <c r="P338" s="162">
        <f t="shared" si="111"/>
        <v>1106953</v>
      </c>
    </row>
    <row r="339" spans="1:16" ht="16.149999999999999" customHeight="1" x14ac:dyDescent="0.25">
      <c r="A339" s="469">
        <f>A336+1</f>
        <v>111</v>
      </c>
      <c r="B339" s="470" t="s">
        <v>405</v>
      </c>
      <c r="C339" s="471" t="s">
        <v>814</v>
      </c>
      <c r="D339" s="472">
        <v>44176</v>
      </c>
      <c r="E339" s="474" t="s">
        <v>807</v>
      </c>
      <c r="F339" s="167" t="s">
        <v>815</v>
      </c>
      <c r="G339" s="157" t="s">
        <v>409</v>
      </c>
      <c r="H339" s="158">
        <v>5476</v>
      </c>
      <c r="I339" s="158">
        <v>5476</v>
      </c>
      <c r="J339" s="158">
        <v>5476</v>
      </c>
      <c r="K339" s="158">
        <v>5476</v>
      </c>
      <c r="L339" s="158">
        <v>5476</v>
      </c>
      <c r="M339" s="158">
        <v>5476</v>
      </c>
      <c r="N339" s="158">
        <v>5476</v>
      </c>
      <c r="O339" s="158">
        <f>32856</f>
        <v>32856</v>
      </c>
      <c r="P339" s="158">
        <f>SUM(H339:O339)</f>
        <v>71188</v>
      </c>
    </row>
    <row r="340" spans="1:16" ht="16.149999999999999" customHeight="1" x14ac:dyDescent="0.25">
      <c r="A340" s="469"/>
      <c r="B340" s="470"/>
      <c r="C340" s="471"/>
      <c r="D340" s="472"/>
      <c r="E340" s="474"/>
      <c r="F340" s="165" t="s">
        <v>816</v>
      </c>
      <c r="G340" s="159" t="s">
        <v>410</v>
      </c>
      <c r="H340" s="160">
        <v>1967</v>
      </c>
      <c r="I340" s="160">
        <v>2909</v>
      </c>
      <c r="J340" s="160">
        <v>2811</v>
      </c>
      <c r="K340" s="160">
        <v>2552</v>
      </c>
      <c r="L340" s="160">
        <v>2293</v>
      </c>
      <c r="M340" s="160">
        <v>2038</v>
      </c>
      <c r="N340" s="173">
        <v>1773</v>
      </c>
      <c r="O340" s="173">
        <f>1514+3697</f>
        <v>5211</v>
      </c>
      <c r="P340" s="160">
        <f>SUM(H340:O340)</f>
        <v>21554</v>
      </c>
    </row>
    <row r="341" spans="1:16" ht="16.149999999999999" customHeight="1" x14ac:dyDescent="0.25">
      <c r="A341" s="469"/>
      <c r="B341" s="470"/>
      <c r="C341" s="471"/>
      <c r="D341" s="472"/>
      <c r="E341" s="474"/>
      <c r="F341" s="161"/>
      <c r="G341" s="161" t="s">
        <v>411</v>
      </c>
      <c r="H341" s="162">
        <f t="shared" si="111"/>
        <v>7443</v>
      </c>
      <c r="I341" s="162">
        <f t="shared" si="111"/>
        <v>8385</v>
      </c>
      <c r="J341" s="162">
        <f t="shared" si="111"/>
        <v>8287</v>
      </c>
      <c r="K341" s="162">
        <f t="shared" si="111"/>
        <v>8028</v>
      </c>
      <c r="L341" s="162">
        <f t="shared" si="111"/>
        <v>7769</v>
      </c>
      <c r="M341" s="162">
        <f t="shared" si="111"/>
        <v>7514</v>
      </c>
      <c r="N341" s="162">
        <f t="shared" si="111"/>
        <v>7249</v>
      </c>
      <c r="O341" s="162">
        <f t="shared" si="111"/>
        <v>38067</v>
      </c>
      <c r="P341" s="162">
        <f t="shared" si="111"/>
        <v>92742</v>
      </c>
    </row>
    <row r="342" spans="1:16" ht="16.149999999999999" customHeight="1" x14ac:dyDescent="0.25">
      <c r="A342" s="469">
        <f>A339+1</f>
        <v>112</v>
      </c>
      <c r="B342" s="470" t="s">
        <v>405</v>
      </c>
      <c r="C342" s="471" t="s">
        <v>817</v>
      </c>
      <c r="D342" s="472">
        <v>44182</v>
      </c>
      <c r="E342" s="474" t="s">
        <v>818</v>
      </c>
      <c r="F342" s="167" t="s">
        <v>819</v>
      </c>
      <c r="G342" s="157" t="s">
        <v>409</v>
      </c>
      <c r="H342" s="158">
        <v>13460</v>
      </c>
      <c r="I342" s="158">
        <v>13460</v>
      </c>
      <c r="J342" s="158">
        <v>13460</v>
      </c>
      <c r="K342" s="158">
        <v>13460</v>
      </c>
      <c r="L342" s="158">
        <v>13460</v>
      </c>
      <c r="M342" s="158">
        <v>13460</v>
      </c>
      <c r="N342" s="158">
        <v>13460</v>
      </c>
      <c r="O342" s="158">
        <v>13460</v>
      </c>
      <c r="P342" s="158">
        <f>SUM(H342:O342)</f>
        <v>107680</v>
      </c>
    </row>
    <row r="343" spans="1:16" ht="16.149999999999999" customHeight="1" x14ac:dyDescent="0.25">
      <c r="A343" s="469"/>
      <c r="B343" s="470"/>
      <c r="C343" s="471"/>
      <c r="D343" s="472"/>
      <c r="E343" s="474"/>
      <c r="F343" s="165" t="s">
        <v>820</v>
      </c>
      <c r="G343" s="159" t="s">
        <v>410</v>
      </c>
      <c r="H343" s="160">
        <v>267</v>
      </c>
      <c r="I343" s="160">
        <v>234</v>
      </c>
      <c r="J343" s="160">
        <v>200</v>
      </c>
      <c r="K343" s="160">
        <v>165</v>
      </c>
      <c r="L343" s="160">
        <v>131</v>
      </c>
      <c r="M343" s="160">
        <v>101</v>
      </c>
      <c r="N343" s="173">
        <v>72</v>
      </c>
      <c r="O343" s="173">
        <v>39</v>
      </c>
      <c r="P343" s="160">
        <f>SUM(H343:O343)</f>
        <v>1209</v>
      </c>
    </row>
    <row r="344" spans="1:16" ht="16.149999999999999" customHeight="1" x14ac:dyDescent="0.25">
      <c r="A344" s="469"/>
      <c r="B344" s="470"/>
      <c r="C344" s="471"/>
      <c r="D344" s="472"/>
      <c r="E344" s="474"/>
      <c r="F344" s="161"/>
      <c r="G344" s="161" t="s">
        <v>411</v>
      </c>
      <c r="H344" s="162">
        <f t="shared" ref="H344:P344" si="112">SUM(H342:H343)</f>
        <v>13727</v>
      </c>
      <c r="I344" s="162">
        <f t="shared" si="112"/>
        <v>13694</v>
      </c>
      <c r="J344" s="162">
        <f t="shared" si="112"/>
        <v>13660</v>
      </c>
      <c r="K344" s="162">
        <f t="shared" si="112"/>
        <v>13625</v>
      </c>
      <c r="L344" s="162">
        <f t="shared" si="112"/>
        <v>13591</v>
      </c>
      <c r="M344" s="162">
        <f t="shared" si="112"/>
        <v>13561</v>
      </c>
      <c r="N344" s="162">
        <f t="shared" si="112"/>
        <v>13532</v>
      </c>
      <c r="O344" s="162">
        <f t="shared" si="112"/>
        <v>13499</v>
      </c>
      <c r="P344" s="162">
        <f t="shared" si="112"/>
        <v>108889</v>
      </c>
    </row>
    <row r="345" spans="1:16" ht="16.149999999999999" customHeight="1" x14ac:dyDescent="0.25">
      <c r="A345" s="469">
        <f>A342+1</f>
        <v>113</v>
      </c>
      <c r="B345" s="470" t="s">
        <v>405</v>
      </c>
      <c r="C345" s="471" t="s">
        <v>821</v>
      </c>
      <c r="D345" s="472">
        <v>44182</v>
      </c>
      <c r="E345" s="474" t="s">
        <v>818</v>
      </c>
      <c r="F345" s="167" t="s">
        <v>822</v>
      </c>
      <c r="G345" s="157" t="s">
        <v>409</v>
      </c>
      <c r="H345" s="158">
        <v>7860</v>
      </c>
      <c r="I345" s="158">
        <v>7860</v>
      </c>
      <c r="J345" s="158">
        <v>7860</v>
      </c>
      <c r="K345" s="158">
        <v>7860</v>
      </c>
      <c r="L345" s="158">
        <v>7860</v>
      </c>
      <c r="M345" s="158">
        <v>7860</v>
      </c>
      <c r="N345" s="158">
        <v>7860</v>
      </c>
      <c r="O345" s="158">
        <v>5984</v>
      </c>
      <c r="P345" s="158">
        <f>SUM(H345:O345)</f>
        <v>61004</v>
      </c>
    </row>
    <row r="346" spans="1:16" ht="16.149999999999999" customHeight="1" x14ac:dyDescent="0.25">
      <c r="A346" s="469"/>
      <c r="B346" s="470"/>
      <c r="C346" s="471"/>
      <c r="D346" s="472"/>
      <c r="E346" s="474"/>
      <c r="F346" s="165" t="s">
        <v>823</v>
      </c>
      <c r="G346" s="159" t="s">
        <v>410</v>
      </c>
      <c r="H346" s="160">
        <v>151</v>
      </c>
      <c r="I346" s="160">
        <v>132</v>
      </c>
      <c r="J346" s="160">
        <v>113</v>
      </c>
      <c r="K346" s="160">
        <v>94</v>
      </c>
      <c r="L346" s="160">
        <v>74</v>
      </c>
      <c r="M346" s="160">
        <v>55</v>
      </c>
      <c r="N346" s="173">
        <v>36</v>
      </c>
      <c r="O346" s="173">
        <v>17</v>
      </c>
      <c r="P346" s="160">
        <f>SUM(H346:O346)</f>
        <v>672</v>
      </c>
    </row>
    <row r="347" spans="1:16" ht="16.149999999999999" customHeight="1" x14ac:dyDescent="0.25">
      <c r="A347" s="469"/>
      <c r="B347" s="470"/>
      <c r="C347" s="471"/>
      <c r="D347" s="472"/>
      <c r="E347" s="474"/>
      <c r="F347" s="161"/>
      <c r="G347" s="161" t="s">
        <v>411</v>
      </c>
      <c r="H347" s="162">
        <f t="shared" ref="H347:P347" si="113">SUM(H345:H346)</f>
        <v>8011</v>
      </c>
      <c r="I347" s="162">
        <f t="shared" si="113"/>
        <v>7992</v>
      </c>
      <c r="J347" s="162">
        <f t="shared" si="113"/>
        <v>7973</v>
      </c>
      <c r="K347" s="162">
        <f t="shared" si="113"/>
        <v>7954</v>
      </c>
      <c r="L347" s="162">
        <f t="shared" si="113"/>
        <v>7934</v>
      </c>
      <c r="M347" s="162">
        <f t="shared" si="113"/>
        <v>7915</v>
      </c>
      <c r="N347" s="162">
        <f t="shared" si="113"/>
        <v>7896</v>
      </c>
      <c r="O347" s="162">
        <f t="shared" si="113"/>
        <v>6001</v>
      </c>
      <c r="P347" s="162">
        <f t="shared" si="113"/>
        <v>61676</v>
      </c>
    </row>
    <row r="348" spans="1:16" ht="16.149999999999999" customHeight="1" x14ac:dyDescent="0.25">
      <c r="A348" s="469">
        <f>A345+1</f>
        <v>114</v>
      </c>
      <c r="B348" s="470" t="s">
        <v>405</v>
      </c>
      <c r="C348" s="481" t="s">
        <v>824</v>
      </c>
      <c r="D348" s="472">
        <v>44224</v>
      </c>
      <c r="E348" s="474" t="s">
        <v>825</v>
      </c>
      <c r="F348" s="167" t="s">
        <v>826</v>
      </c>
      <c r="G348" s="157" t="s">
        <v>409</v>
      </c>
      <c r="H348" s="158">
        <v>94448</v>
      </c>
      <c r="I348" s="158">
        <v>94448</v>
      </c>
      <c r="J348" s="158">
        <v>94448</v>
      </c>
      <c r="K348" s="158">
        <v>94448</v>
      </c>
      <c r="L348" s="158">
        <v>94448</v>
      </c>
      <c r="M348" s="158">
        <v>94448</v>
      </c>
      <c r="N348" s="158">
        <v>94448</v>
      </c>
      <c r="O348" s="158">
        <f>1109735-47195</f>
        <v>1062540</v>
      </c>
      <c r="P348" s="158">
        <f>SUM(H348:O348)</f>
        <v>1723676</v>
      </c>
    </row>
    <row r="349" spans="1:16" ht="16.149999999999999" customHeight="1" x14ac:dyDescent="0.25">
      <c r="A349" s="469"/>
      <c r="B349" s="470"/>
      <c r="C349" s="471"/>
      <c r="D349" s="472"/>
      <c r="E349" s="474"/>
      <c r="F349" s="165" t="s">
        <v>827</v>
      </c>
      <c r="G349" s="159" t="s">
        <v>410</v>
      </c>
      <c r="H349" s="160">
        <f>33711+10895</f>
        <v>44606</v>
      </c>
      <c r="I349" s="160">
        <v>73537</v>
      </c>
      <c r="J349" s="160">
        <v>73053</v>
      </c>
      <c r="K349" s="160">
        <v>68523</v>
      </c>
      <c r="L349" s="160">
        <v>63981</v>
      </c>
      <c r="M349" s="160">
        <v>59594</v>
      </c>
      <c r="N349" s="173">
        <v>54891</v>
      </c>
      <c r="O349" s="173">
        <f>50352+254728</f>
        <v>305080</v>
      </c>
      <c r="P349" s="160">
        <f>SUM(H349:O349)</f>
        <v>743265</v>
      </c>
    </row>
    <row r="350" spans="1:16" ht="16.149999999999999" customHeight="1" x14ac:dyDescent="0.25">
      <c r="A350" s="469"/>
      <c r="B350" s="470"/>
      <c r="C350" s="471"/>
      <c r="D350" s="472"/>
      <c r="E350" s="474"/>
      <c r="F350" s="161"/>
      <c r="G350" s="161" t="s">
        <v>411</v>
      </c>
      <c r="H350" s="162">
        <f t="shared" ref="H350:P350" si="114">SUM(H348:H349)</f>
        <v>139054</v>
      </c>
      <c r="I350" s="162">
        <f t="shared" si="114"/>
        <v>167985</v>
      </c>
      <c r="J350" s="162">
        <f t="shared" si="114"/>
        <v>167501</v>
      </c>
      <c r="K350" s="162">
        <f t="shared" si="114"/>
        <v>162971</v>
      </c>
      <c r="L350" s="162">
        <f t="shared" si="114"/>
        <v>158429</v>
      </c>
      <c r="M350" s="162">
        <f t="shared" si="114"/>
        <v>154042</v>
      </c>
      <c r="N350" s="162">
        <f t="shared" si="114"/>
        <v>149339</v>
      </c>
      <c r="O350" s="162">
        <f t="shared" si="114"/>
        <v>1367620</v>
      </c>
      <c r="P350" s="162">
        <f t="shared" si="114"/>
        <v>2466941</v>
      </c>
    </row>
    <row r="351" spans="1:16" ht="16.149999999999999" customHeight="1" x14ac:dyDescent="0.25">
      <c r="A351" s="469">
        <f>A348+1</f>
        <v>115</v>
      </c>
      <c r="B351" s="470" t="s">
        <v>405</v>
      </c>
      <c r="C351" s="481" t="s">
        <v>828</v>
      </c>
      <c r="D351" s="472">
        <v>44237</v>
      </c>
      <c r="E351" s="474" t="s">
        <v>829</v>
      </c>
      <c r="F351" s="167" t="s">
        <v>830</v>
      </c>
      <c r="G351" s="157" t="s">
        <v>409</v>
      </c>
      <c r="H351" s="158">
        <v>880446</v>
      </c>
      <c r="I351" s="158">
        <v>880448</v>
      </c>
      <c r="J351" s="158">
        <v>880448</v>
      </c>
      <c r="K351" s="158">
        <v>880448</v>
      </c>
      <c r="L351" s="158">
        <v>880448</v>
      </c>
      <c r="M351" s="158">
        <v>880448</v>
      </c>
      <c r="N351" s="158">
        <v>880448</v>
      </c>
      <c r="O351" s="158">
        <f>12326242</f>
        <v>12326242</v>
      </c>
      <c r="P351" s="158">
        <f>SUM(H351:O351)</f>
        <v>18489376</v>
      </c>
    </row>
    <row r="352" spans="1:16" ht="16.149999999999999" customHeight="1" x14ac:dyDescent="0.25">
      <c r="A352" s="469"/>
      <c r="B352" s="470"/>
      <c r="C352" s="471"/>
      <c r="D352" s="472"/>
      <c r="E352" s="474"/>
      <c r="F352" s="165" t="s">
        <v>831</v>
      </c>
      <c r="G352" s="159" t="s">
        <v>410</v>
      </c>
      <c r="H352" s="160">
        <f>469810+20022</f>
        <v>489832</v>
      </c>
      <c r="I352" s="160">
        <v>786602</v>
      </c>
      <c r="J352" s="160">
        <v>785252</v>
      </c>
      <c r="K352" s="160">
        <v>743668</v>
      </c>
      <c r="L352" s="160">
        <v>701969</v>
      </c>
      <c r="M352" s="160">
        <v>662012</v>
      </c>
      <c r="N352" s="173">
        <v>618515</v>
      </c>
      <c r="O352" s="173">
        <f>576845+3711946</f>
        <v>4288791</v>
      </c>
      <c r="P352" s="160">
        <f>SUM(H352:O352)</f>
        <v>9076641</v>
      </c>
    </row>
    <row r="353" spans="1:16" ht="16.149999999999999" customHeight="1" x14ac:dyDescent="0.25">
      <c r="A353" s="469"/>
      <c r="B353" s="470"/>
      <c r="C353" s="471"/>
      <c r="D353" s="472"/>
      <c r="E353" s="474"/>
      <c r="F353" s="161"/>
      <c r="G353" s="161" t="s">
        <v>411</v>
      </c>
      <c r="H353" s="162">
        <f t="shared" ref="H353:P353" si="115">SUM(H351:H352)</f>
        <v>1370278</v>
      </c>
      <c r="I353" s="162">
        <f t="shared" si="115"/>
        <v>1667050</v>
      </c>
      <c r="J353" s="162">
        <f t="shared" si="115"/>
        <v>1665700</v>
      </c>
      <c r="K353" s="162">
        <f t="shared" si="115"/>
        <v>1624116</v>
      </c>
      <c r="L353" s="162">
        <f t="shared" si="115"/>
        <v>1582417</v>
      </c>
      <c r="M353" s="162">
        <f t="shared" si="115"/>
        <v>1542460</v>
      </c>
      <c r="N353" s="162">
        <f t="shared" si="115"/>
        <v>1498963</v>
      </c>
      <c r="O353" s="162">
        <f t="shared" si="115"/>
        <v>16615033</v>
      </c>
      <c r="P353" s="162">
        <f t="shared" si="115"/>
        <v>27566017</v>
      </c>
    </row>
    <row r="354" spans="1:16" ht="15.75" customHeight="1" x14ac:dyDescent="0.25">
      <c r="A354" s="469">
        <f>A351+1</f>
        <v>116</v>
      </c>
      <c r="B354" s="470" t="s">
        <v>405</v>
      </c>
      <c r="C354" s="481" t="s">
        <v>832</v>
      </c>
      <c r="D354" s="472">
        <v>44251</v>
      </c>
      <c r="E354" s="474" t="s">
        <v>833</v>
      </c>
      <c r="F354" s="167" t="s">
        <v>834</v>
      </c>
      <c r="G354" s="157" t="s">
        <v>409</v>
      </c>
      <c r="H354" s="158">
        <v>25484</v>
      </c>
      <c r="I354" s="158">
        <v>25484</v>
      </c>
      <c r="J354" s="158">
        <v>25484</v>
      </c>
      <c r="K354" s="158">
        <v>25484</v>
      </c>
      <c r="L354" s="158">
        <v>25484</v>
      </c>
      <c r="M354" s="158">
        <v>25484</v>
      </c>
      <c r="N354" s="158">
        <v>25484</v>
      </c>
      <c r="O354" s="158">
        <f>286695</f>
        <v>286695</v>
      </c>
      <c r="P354" s="158">
        <f>SUM(H354:O354)</f>
        <v>465083</v>
      </c>
    </row>
    <row r="355" spans="1:16" ht="15.75" customHeight="1" x14ac:dyDescent="0.25">
      <c r="A355" s="469"/>
      <c r="B355" s="470"/>
      <c r="C355" s="481"/>
      <c r="D355" s="472"/>
      <c r="E355" s="474"/>
      <c r="F355" s="165" t="s">
        <v>835</v>
      </c>
      <c r="G355" s="159" t="s">
        <v>410</v>
      </c>
      <c r="H355" s="160">
        <f>10980+905</f>
        <v>11885</v>
      </c>
      <c r="I355" s="160">
        <v>19522</v>
      </c>
      <c r="J355" s="160">
        <v>19171</v>
      </c>
      <c r="K355" s="160">
        <v>17982</v>
      </c>
      <c r="L355" s="160">
        <v>16790</v>
      </c>
      <c r="M355" s="160">
        <v>15539</v>
      </c>
      <c r="N355" s="173">
        <v>14404</v>
      </c>
      <c r="O355" s="173">
        <f>13213+66870</f>
        <v>80083</v>
      </c>
      <c r="P355" s="160">
        <f>SUM(H355:O355)</f>
        <v>195376</v>
      </c>
    </row>
    <row r="356" spans="1:16" ht="15.75" customHeight="1" x14ac:dyDescent="0.25">
      <c r="A356" s="469"/>
      <c r="B356" s="470"/>
      <c r="C356" s="481"/>
      <c r="D356" s="472"/>
      <c r="E356" s="474"/>
      <c r="F356" s="161"/>
      <c r="G356" s="161" t="s">
        <v>411</v>
      </c>
      <c r="H356" s="162">
        <f t="shared" ref="H356:P356" si="116">SUM(H354:H355)</f>
        <v>37369</v>
      </c>
      <c r="I356" s="162">
        <f t="shared" si="116"/>
        <v>45006</v>
      </c>
      <c r="J356" s="162">
        <f t="shared" si="116"/>
        <v>44655</v>
      </c>
      <c r="K356" s="162">
        <f t="shared" si="116"/>
        <v>43466</v>
      </c>
      <c r="L356" s="162">
        <f t="shared" si="116"/>
        <v>42274</v>
      </c>
      <c r="M356" s="162">
        <f t="shared" si="116"/>
        <v>41023</v>
      </c>
      <c r="N356" s="162">
        <f t="shared" si="116"/>
        <v>39888</v>
      </c>
      <c r="O356" s="162">
        <f t="shared" si="116"/>
        <v>366778</v>
      </c>
      <c r="P356" s="162">
        <f t="shared" si="116"/>
        <v>660459</v>
      </c>
    </row>
    <row r="357" spans="1:16" ht="15.75" customHeight="1" x14ac:dyDescent="0.25">
      <c r="A357" s="469">
        <f>A354+1</f>
        <v>117</v>
      </c>
      <c r="B357" s="470" t="s">
        <v>405</v>
      </c>
      <c r="C357" s="481" t="s">
        <v>836</v>
      </c>
      <c r="D357" s="472">
        <v>44280</v>
      </c>
      <c r="E357" s="474" t="s">
        <v>837</v>
      </c>
      <c r="F357" s="167" t="s">
        <v>838</v>
      </c>
      <c r="G357" s="157" t="s">
        <v>409</v>
      </c>
      <c r="H357" s="158">
        <f t="shared" ref="H357:N357" si="117">751*4</f>
        <v>3004</v>
      </c>
      <c r="I357" s="158">
        <f t="shared" si="117"/>
        <v>3004</v>
      </c>
      <c r="J357" s="158">
        <f t="shared" si="117"/>
        <v>3004</v>
      </c>
      <c r="K357" s="158">
        <f t="shared" si="117"/>
        <v>3004</v>
      </c>
      <c r="L357" s="158">
        <f t="shared" si="117"/>
        <v>3004</v>
      </c>
      <c r="M357" s="158">
        <f t="shared" si="117"/>
        <v>3004</v>
      </c>
      <c r="N357" s="158">
        <f t="shared" si="117"/>
        <v>3004</v>
      </c>
      <c r="O357" s="158">
        <f>18775</f>
        <v>18775</v>
      </c>
      <c r="P357" s="158">
        <f>SUM(H357:O357)</f>
        <v>39803</v>
      </c>
    </row>
    <row r="358" spans="1:16" ht="15.75" customHeight="1" x14ac:dyDescent="0.25">
      <c r="A358" s="469"/>
      <c r="B358" s="470"/>
      <c r="C358" s="481"/>
      <c r="D358" s="472"/>
      <c r="E358" s="474"/>
      <c r="F358" s="165" t="s">
        <v>839</v>
      </c>
      <c r="G358" s="159" t="s">
        <v>410</v>
      </c>
      <c r="H358" s="160">
        <f>804+44</f>
        <v>848</v>
      </c>
      <c r="I358" s="160">
        <v>1564</v>
      </c>
      <c r="J358" s="160">
        <v>1532</v>
      </c>
      <c r="K358" s="160">
        <v>1394</v>
      </c>
      <c r="L358" s="160">
        <v>1256</v>
      </c>
      <c r="M358" s="160">
        <v>1120</v>
      </c>
      <c r="N358" s="160">
        <v>979</v>
      </c>
      <c r="O358" s="160">
        <f>841+2161</f>
        <v>3002</v>
      </c>
      <c r="P358" s="160">
        <f>SUM(H358:O358)</f>
        <v>11695</v>
      </c>
    </row>
    <row r="359" spans="1:16" ht="15.75" customHeight="1" x14ac:dyDescent="0.25">
      <c r="A359" s="469"/>
      <c r="B359" s="470"/>
      <c r="C359" s="481"/>
      <c r="D359" s="472"/>
      <c r="E359" s="474"/>
      <c r="F359" s="161"/>
      <c r="G359" s="161" t="s">
        <v>411</v>
      </c>
      <c r="H359" s="162">
        <f t="shared" ref="H359:P359" si="118">SUM(H357:H358)</f>
        <v>3852</v>
      </c>
      <c r="I359" s="162">
        <f t="shared" si="118"/>
        <v>4568</v>
      </c>
      <c r="J359" s="162">
        <f t="shared" si="118"/>
        <v>4536</v>
      </c>
      <c r="K359" s="162">
        <f t="shared" si="118"/>
        <v>4398</v>
      </c>
      <c r="L359" s="162">
        <f t="shared" si="118"/>
        <v>4260</v>
      </c>
      <c r="M359" s="162">
        <f t="shared" si="118"/>
        <v>4124</v>
      </c>
      <c r="N359" s="162">
        <f t="shared" si="118"/>
        <v>3983</v>
      </c>
      <c r="O359" s="162">
        <f t="shared" si="118"/>
        <v>21777</v>
      </c>
      <c r="P359" s="162">
        <f t="shared" si="118"/>
        <v>51498</v>
      </c>
    </row>
    <row r="360" spans="1:16" ht="21.75" customHeight="1" x14ac:dyDescent="0.25">
      <c r="A360" s="469">
        <f>A357+1</f>
        <v>118</v>
      </c>
      <c r="B360" s="470" t="s">
        <v>405</v>
      </c>
      <c r="C360" s="493" t="s">
        <v>840</v>
      </c>
      <c r="D360" s="472">
        <v>44315</v>
      </c>
      <c r="E360" s="474" t="s">
        <v>841</v>
      </c>
      <c r="F360" s="167" t="s">
        <v>842</v>
      </c>
      <c r="G360" s="157" t="s">
        <v>409</v>
      </c>
      <c r="H360" s="158">
        <v>19604</v>
      </c>
      <c r="I360" s="158">
        <v>19604</v>
      </c>
      <c r="J360" s="158">
        <v>19604</v>
      </c>
      <c r="K360" s="158">
        <v>19604</v>
      </c>
      <c r="L360" s="158">
        <v>19604</v>
      </c>
      <c r="M360" s="158">
        <v>19604</v>
      </c>
      <c r="N360" s="158">
        <v>19604</v>
      </c>
      <c r="O360" s="158">
        <f>225446</f>
        <v>225446</v>
      </c>
      <c r="P360" s="158">
        <f>SUM(H360:O360)</f>
        <v>362674</v>
      </c>
    </row>
    <row r="361" spans="1:16" ht="20.45" customHeight="1" x14ac:dyDescent="0.25">
      <c r="A361" s="469"/>
      <c r="B361" s="470"/>
      <c r="C361" s="493"/>
      <c r="D361" s="472"/>
      <c r="E361" s="474"/>
      <c r="F361" s="165" t="s">
        <v>843</v>
      </c>
      <c r="G361" s="159" t="s">
        <v>410</v>
      </c>
      <c r="H361" s="160">
        <f>6929+860</f>
        <v>7789</v>
      </c>
      <c r="I361" s="160">
        <v>15325</v>
      </c>
      <c r="J361" s="160">
        <v>14895</v>
      </c>
      <c r="K361" s="160">
        <v>13985</v>
      </c>
      <c r="L361" s="160">
        <v>13074</v>
      </c>
      <c r="M361" s="160">
        <v>12193</v>
      </c>
      <c r="N361" s="173">
        <v>11248</v>
      </c>
      <c r="O361" s="173">
        <f>10337+53587</f>
        <v>63924</v>
      </c>
      <c r="P361" s="160">
        <f>SUM(H361:O361)</f>
        <v>152433</v>
      </c>
    </row>
    <row r="362" spans="1:16" ht="20.45" customHeight="1" x14ac:dyDescent="0.25">
      <c r="A362" s="469"/>
      <c r="B362" s="470"/>
      <c r="C362" s="493"/>
      <c r="D362" s="472"/>
      <c r="E362" s="474"/>
      <c r="F362" s="161"/>
      <c r="G362" s="161" t="s">
        <v>411</v>
      </c>
      <c r="H362" s="162">
        <f t="shared" ref="H362:P362" si="119">SUM(H360:H361)</f>
        <v>27393</v>
      </c>
      <c r="I362" s="162">
        <f t="shared" si="119"/>
        <v>34929</v>
      </c>
      <c r="J362" s="162">
        <f t="shared" si="119"/>
        <v>34499</v>
      </c>
      <c r="K362" s="162">
        <f t="shared" si="119"/>
        <v>33589</v>
      </c>
      <c r="L362" s="162">
        <f t="shared" si="119"/>
        <v>32678</v>
      </c>
      <c r="M362" s="162">
        <f t="shared" si="119"/>
        <v>31797</v>
      </c>
      <c r="N362" s="162">
        <f t="shared" si="119"/>
        <v>30852</v>
      </c>
      <c r="O362" s="162">
        <f t="shared" si="119"/>
        <v>289370</v>
      </c>
      <c r="P362" s="162">
        <f t="shared" si="119"/>
        <v>515107</v>
      </c>
    </row>
    <row r="363" spans="1:16" ht="15.75" customHeight="1" x14ac:dyDescent="0.25">
      <c r="A363" s="469">
        <f>A360+1</f>
        <v>119</v>
      </c>
      <c r="B363" s="470" t="s">
        <v>405</v>
      </c>
      <c r="C363" s="481" t="s">
        <v>844</v>
      </c>
      <c r="D363" s="472">
        <v>44326</v>
      </c>
      <c r="E363" s="474" t="s">
        <v>432</v>
      </c>
      <c r="F363" s="167" t="s">
        <v>845</v>
      </c>
      <c r="G363" s="157" t="s">
        <v>409</v>
      </c>
      <c r="H363" s="158">
        <v>167100</v>
      </c>
      <c r="I363" s="158">
        <v>142756</v>
      </c>
      <c r="J363" s="158">
        <v>67572</v>
      </c>
      <c r="K363" s="158">
        <v>43244</v>
      </c>
      <c r="L363" s="158">
        <v>21622</v>
      </c>
      <c r="M363" s="158">
        <v>0</v>
      </c>
      <c r="N363" s="158">
        <v>0</v>
      </c>
      <c r="O363" s="158">
        <v>0</v>
      </c>
      <c r="P363" s="158">
        <f>SUM(H363:O363)</f>
        <v>442294</v>
      </c>
    </row>
    <row r="364" spans="1:16" ht="15.75" customHeight="1" x14ac:dyDescent="0.25">
      <c r="A364" s="469"/>
      <c r="B364" s="470"/>
      <c r="C364" s="471"/>
      <c r="D364" s="472"/>
      <c r="E364" s="474"/>
      <c r="F364" s="165" t="s">
        <v>846</v>
      </c>
      <c r="G364" s="159" t="s">
        <v>410</v>
      </c>
      <c r="H364" s="160">
        <f>7141+892</f>
        <v>8033</v>
      </c>
      <c r="I364" s="160">
        <f>10163+646</f>
        <v>10809</v>
      </c>
      <c r="J364" s="160">
        <f>5258+320</f>
        <v>5578</v>
      </c>
      <c r="K364" s="160">
        <f>2485+152</f>
        <v>2637</v>
      </c>
      <c r="L364" s="160">
        <f>598+36</f>
        <v>634</v>
      </c>
      <c r="M364" s="160">
        <v>0</v>
      </c>
      <c r="N364" s="160">
        <v>0</v>
      </c>
      <c r="O364" s="160">
        <v>0</v>
      </c>
      <c r="P364" s="160">
        <f>SUM(H364:O364)</f>
        <v>27691</v>
      </c>
    </row>
    <row r="365" spans="1:16" ht="15.75" customHeight="1" x14ac:dyDescent="0.25">
      <c r="A365" s="469"/>
      <c r="B365" s="470"/>
      <c r="C365" s="471"/>
      <c r="D365" s="472"/>
      <c r="E365" s="474"/>
      <c r="F365" s="161"/>
      <c r="G365" s="161" t="s">
        <v>411</v>
      </c>
      <c r="H365" s="162">
        <f t="shared" ref="H365:P365" si="120">SUM(H363:H364)</f>
        <v>175133</v>
      </c>
      <c r="I365" s="162">
        <f t="shared" si="120"/>
        <v>153565</v>
      </c>
      <c r="J365" s="162">
        <f t="shared" si="120"/>
        <v>73150</v>
      </c>
      <c r="K365" s="162">
        <f t="shared" si="120"/>
        <v>45881</v>
      </c>
      <c r="L365" s="162">
        <f t="shared" si="120"/>
        <v>22256</v>
      </c>
      <c r="M365" s="162">
        <f t="shared" si="120"/>
        <v>0</v>
      </c>
      <c r="N365" s="162">
        <f t="shared" si="120"/>
        <v>0</v>
      </c>
      <c r="O365" s="162">
        <f t="shared" si="120"/>
        <v>0</v>
      </c>
      <c r="P365" s="162">
        <f t="shared" si="120"/>
        <v>469985</v>
      </c>
    </row>
    <row r="366" spans="1:16" ht="15.75" customHeight="1" x14ac:dyDescent="0.25">
      <c r="A366" s="469">
        <f>A363+1</f>
        <v>120</v>
      </c>
      <c r="B366" s="470" t="s">
        <v>405</v>
      </c>
      <c r="C366" s="471" t="s">
        <v>847</v>
      </c>
      <c r="D366" s="472">
        <v>44358</v>
      </c>
      <c r="E366" s="474" t="s">
        <v>848</v>
      </c>
      <c r="F366" s="167" t="s">
        <v>849</v>
      </c>
      <c r="G366" s="157" t="s">
        <v>409</v>
      </c>
      <c r="H366" s="158">
        <v>15592</v>
      </c>
      <c r="I366" s="158">
        <v>15592</v>
      </c>
      <c r="J366" s="158">
        <v>15592</v>
      </c>
      <c r="K366" s="158">
        <v>15592</v>
      </c>
      <c r="L366" s="158">
        <v>15592</v>
      </c>
      <c r="M366" s="158">
        <v>15592</v>
      </c>
      <c r="N366" s="158">
        <v>15592</v>
      </c>
      <c r="O366" s="158">
        <f>23388</f>
        <v>23388</v>
      </c>
      <c r="P366" s="158">
        <f>SUM(H366:O366)</f>
        <v>132532</v>
      </c>
    </row>
    <row r="367" spans="1:16" ht="15.75" customHeight="1" x14ac:dyDescent="0.25">
      <c r="A367" s="469"/>
      <c r="B367" s="470"/>
      <c r="C367" s="471"/>
      <c r="D367" s="472"/>
      <c r="E367" s="474"/>
      <c r="F367" s="165" t="s">
        <v>850</v>
      </c>
      <c r="G367" s="159" t="s">
        <v>410</v>
      </c>
      <c r="H367" s="160">
        <f>694+64</f>
        <v>758</v>
      </c>
      <c r="I367" s="160">
        <v>1046</v>
      </c>
      <c r="J367" s="160">
        <v>371</v>
      </c>
      <c r="K367" s="160">
        <v>718</v>
      </c>
      <c r="L367" s="160">
        <v>621</v>
      </c>
      <c r="M367" s="173">
        <v>528</v>
      </c>
      <c r="N367" s="173">
        <v>444</v>
      </c>
      <c r="O367" s="173">
        <v>381</v>
      </c>
      <c r="P367" s="160">
        <f>SUM(H367:O367)</f>
        <v>4867</v>
      </c>
    </row>
    <row r="368" spans="1:16" ht="15.75" customHeight="1" x14ac:dyDescent="0.25">
      <c r="A368" s="469"/>
      <c r="B368" s="470"/>
      <c r="C368" s="471"/>
      <c r="D368" s="472"/>
      <c r="E368" s="474"/>
      <c r="F368" s="161"/>
      <c r="G368" s="161" t="s">
        <v>411</v>
      </c>
      <c r="H368" s="162">
        <f t="shared" ref="H368:P368" si="121">SUM(H366:H367)</f>
        <v>16350</v>
      </c>
      <c r="I368" s="162">
        <f t="shared" si="121"/>
        <v>16638</v>
      </c>
      <c r="J368" s="162">
        <f t="shared" si="121"/>
        <v>15963</v>
      </c>
      <c r="K368" s="162">
        <f t="shared" si="121"/>
        <v>16310</v>
      </c>
      <c r="L368" s="162">
        <f t="shared" si="121"/>
        <v>16213</v>
      </c>
      <c r="M368" s="162">
        <f t="shared" si="121"/>
        <v>16120</v>
      </c>
      <c r="N368" s="162">
        <f t="shared" si="121"/>
        <v>16036</v>
      </c>
      <c r="O368" s="162">
        <f t="shared" si="121"/>
        <v>23769</v>
      </c>
      <c r="P368" s="162">
        <f t="shared" si="121"/>
        <v>137399</v>
      </c>
    </row>
    <row r="369" spans="1:16" ht="15.75" customHeight="1" x14ac:dyDescent="0.25">
      <c r="A369" s="469">
        <f>A366+1</f>
        <v>121</v>
      </c>
      <c r="B369" s="470" t="s">
        <v>405</v>
      </c>
      <c r="C369" s="471" t="s">
        <v>851</v>
      </c>
      <c r="D369" s="472">
        <v>44358</v>
      </c>
      <c r="E369" s="474" t="s">
        <v>852</v>
      </c>
      <c r="F369" s="167" t="s">
        <v>853</v>
      </c>
      <c r="G369" s="157" t="s">
        <v>409</v>
      </c>
      <c r="H369" s="158">
        <v>27632</v>
      </c>
      <c r="I369" s="158">
        <v>27632</v>
      </c>
      <c r="J369" s="158">
        <v>27632</v>
      </c>
      <c r="K369" s="158">
        <v>27632</v>
      </c>
      <c r="L369" s="158">
        <v>27632</v>
      </c>
      <c r="M369" s="158">
        <v>27632</v>
      </c>
      <c r="N369" s="158">
        <v>27632</v>
      </c>
      <c r="O369" s="158">
        <f>317768</f>
        <v>317768</v>
      </c>
      <c r="P369" s="158">
        <f>SUM(H369:O369)</f>
        <v>511192</v>
      </c>
    </row>
    <row r="370" spans="1:16" ht="15.75" customHeight="1" x14ac:dyDescent="0.25">
      <c r="A370" s="469"/>
      <c r="B370" s="470"/>
      <c r="C370" s="471"/>
      <c r="D370" s="472"/>
      <c r="E370" s="474"/>
      <c r="F370" s="165" t="s">
        <v>854</v>
      </c>
      <c r="G370" s="159" t="s">
        <v>410</v>
      </c>
      <c r="H370" s="160">
        <f>10270+947</f>
        <v>11217</v>
      </c>
      <c r="I370" s="160">
        <v>22006</v>
      </c>
      <c r="J370" s="160">
        <v>21361</v>
      </c>
      <c r="K370" s="160">
        <v>20057</v>
      </c>
      <c r="L370" s="160">
        <v>18749</v>
      </c>
      <c r="M370" s="173">
        <v>17487</v>
      </c>
      <c r="N370" s="173">
        <v>16132</v>
      </c>
      <c r="O370" s="173">
        <f>14825+76873</f>
        <v>91698</v>
      </c>
      <c r="P370" s="160">
        <f>SUM(H370:O370)</f>
        <v>218707</v>
      </c>
    </row>
    <row r="371" spans="1:16" ht="15.75" customHeight="1" x14ac:dyDescent="0.25">
      <c r="A371" s="469"/>
      <c r="B371" s="470"/>
      <c r="C371" s="471"/>
      <c r="D371" s="472"/>
      <c r="E371" s="474"/>
      <c r="F371" s="161"/>
      <c r="G371" s="161" t="s">
        <v>411</v>
      </c>
      <c r="H371" s="162">
        <f t="shared" ref="H371:P371" si="122">SUM(H369:H370)</f>
        <v>38849</v>
      </c>
      <c r="I371" s="162">
        <f t="shared" si="122"/>
        <v>49638</v>
      </c>
      <c r="J371" s="162">
        <f t="shared" si="122"/>
        <v>48993</v>
      </c>
      <c r="K371" s="162">
        <f t="shared" si="122"/>
        <v>47689</v>
      </c>
      <c r="L371" s="162">
        <f t="shared" si="122"/>
        <v>46381</v>
      </c>
      <c r="M371" s="162">
        <f t="shared" si="122"/>
        <v>45119</v>
      </c>
      <c r="N371" s="162">
        <f t="shared" si="122"/>
        <v>43764</v>
      </c>
      <c r="O371" s="162">
        <f t="shared" si="122"/>
        <v>409466</v>
      </c>
      <c r="P371" s="162">
        <f t="shared" si="122"/>
        <v>729899</v>
      </c>
    </row>
    <row r="372" spans="1:16" ht="18.75" customHeight="1" x14ac:dyDescent="0.25">
      <c r="A372" s="469">
        <f>A369+1</f>
        <v>122</v>
      </c>
      <c r="B372" s="470" t="s">
        <v>405</v>
      </c>
      <c r="C372" s="471" t="s">
        <v>855</v>
      </c>
      <c r="D372" s="472">
        <v>44375</v>
      </c>
      <c r="E372" s="496" t="s">
        <v>856</v>
      </c>
      <c r="F372" s="167" t="s">
        <v>857</v>
      </c>
      <c r="G372" s="157" t="s">
        <v>409</v>
      </c>
      <c r="H372" s="158">
        <v>27588</v>
      </c>
      <c r="I372" s="158">
        <v>27588</v>
      </c>
      <c r="J372" s="158">
        <v>27588</v>
      </c>
      <c r="K372" s="158">
        <v>27588</v>
      </c>
      <c r="L372" s="158">
        <v>27588</v>
      </c>
      <c r="M372" s="158">
        <v>27588</v>
      </c>
      <c r="N372" s="158">
        <v>27588</v>
      </c>
      <c r="O372" s="158">
        <f>179322</f>
        <v>179322</v>
      </c>
      <c r="P372" s="158">
        <f>SUM(H372:O372)</f>
        <v>372438</v>
      </c>
    </row>
    <row r="373" spans="1:16" ht="15.75" customHeight="1" x14ac:dyDescent="0.25">
      <c r="A373" s="469"/>
      <c r="B373" s="470"/>
      <c r="C373" s="471"/>
      <c r="D373" s="472"/>
      <c r="E373" s="496"/>
      <c r="F373" s="165" t="s">
        <v>858</v>
      </c>
      <c r="G373" s="159" t="s">
        <v>410</v>
      </c>
      <c r="H373" s="160">
        <f>7446+735</f>
        <v>8181</v>
      </c>
      <c r="I373" s="160">
        <v>15765</v>
      </c>
      <c r="J373" s="160">
        <v>14559</v>
      </c>
      <c r="K373" s="160">
        <v>13278</v>
      </c>
      <c r="L373" s="160">
        <v>11994</v>
      </c>
      <c r="M373" s="173">
        <v>10736</v>
      </c>
      <c r="N373" s="173">
        <v>9424</v>
      </c>
      <c r="O373" s="173">
        <f>8140+21926</f>
        <v>30066</v>
      </c>
      <c r="P373" s="160">
        <f>SUM(H373:O373)</f>
        <v>114003</v>
      </c>
    </row>
    <row r="374" spans="1:16" ht="18" customHeight="1" x14ac:dyDescent="0.25">
      <c r="A374" s="469"/>
      <c r="B374" s="470"/>
      <c r="C374" s="471"/>
      <c r="D374" s="472"/>
      <c r="E374" s="496"/>
      <c r="F374" s="161"/>
      <c r="G374" s="161" t="s">
        <v>411</v>
      </c>
      <c r="H374" s="162">
        <f t="shared" ref="H374:P374" si="123">SUM(H372:H373)</f>
        <v>35769</v>
      </c>
      <c r="I374" s="162">
        <f t="shared" si="123"/>
        <v>43353</v>
      </c>
      <c r="J374" s="162">
        <f t="shared" si="123"/>
        <v>42147</v>
      </c>
      <c r="K374" s="162">
        <f t="shared" si="123"/>
        <v>40866</v>
      </c>
      <c r="L374" s="162">
        <f t="shared" si="123"/>
        <v>39582</v>
      </c>
      <c r="M374" s="162">
        <f t="shared" si="123"/>
        <v>38324</v>
      </c>
      <c r="N374" s="162">
        <f t="shared" si="123"/>
        <v>37012</v>
      </c>
      <c r="O374" s="162">
        <f t="shared" si="123"/>
        <v>209388</v>
      </c>
      <c r="P374" s="162">
        <f t="shared" si="123"/>
        <v>486441</v>
      </c>
    </row>
    <row r="375" spans="1:16" ht="15.75" customHeight="1" x14ac:dyDescent="0.25">
      <c r="A375" s="469">
        <f>A372+1</f>
        <v>123</v>
      </c>
      <c r="B375" s="470" t="s">
        <v>405</v>
      </c>
      <c r="C375" s="481" t="s">
        <v>859</v>
      </c>
      <c r="D375" s="472">
        <v>44376</v>
      </c>
      <c r="E375" s="474" t="s">
        <v>860</v>
      </c>
      <c r="F375" s="167" t="s">
        <v>861</v>
      </c>
      <c r="G375" s="157" t="s">
        <v>409</v>
      </c>
      <c r="H375" s="158">
        <v>29092</v>
      </c>
      <c r="I375" s="158">
        <v>29092</v>
      </c>
      <c r="J375" s="158">
        <v>29092</v>
      </c>
      <c r="K375" s="158">
        <v>29092</v>
      </c>
      <c r="L375" s="158">
        <v>29092</v>
      </c>
      <c r="M375" s="158">
        <v>29092</v>
      </c>
      <c r="N375" s="158">
        <v>29092</v>
      </c>
      <c r="O375" s="158">
        <f>189098</f>
        <v>189098</v>
      </c>
      <c r="P375" s="158">
        <f>SUM(H375:O375)</f>
        <v>392742</v>
      </c>
    </row>
    <row r="376" spans="1:16" ht="15.75" customHeight="1" x14ac:dyDescent="0.25">
      <c r="A376" s="469"/>
      <c r="B376" s="470"/>
      <c r="C376" s="471"/>
      <c r="D376" s="472"/>
      <c r="E376" s="474"/>
      <c r="F376" s="165" t="s">
        <v>862</v>
      </c>
      <c r="G376" s="159" t="s">
        <v>410</v>
      </c>
      <c r="H376" s="160">
        <f>8046+791</f>
        <v>8837</v>
      </c>
      <c r="I376" s="160">
        <v>16692</v>
      </c>
      <c r="J376" s="160">
        <v>15352</v>
      </c>
      <c r="K376" s="160">
        <v>14002</v>
      </c>
      <c r="L376" s="160">
        <v>12647</v>
      </c>
      <c r="M376" s="173">
        <v>11322</v>
      </c>
      <c r="N376" s="173">
        <v>9937</v>
      </c>
      <c r="O376" s="173">
        <f>8584+23122</f>
        <v>31706</v>
      </c>
      <c r="P376" s="160">
        <f>SUM(H376:O376)</f>
        <v>120495</v>
      </c>
    </row>
    <row r="377" spans="1:16" ht="15.75" customHeight="1" x14ac:dyDescent="0.25">
      <c r="A377" s="469"/>
      <c r="B377" s="470"/>
      <c r="C377" s="471"/>
      <c r="D377" s="472"/>
      <c r="E377" s="474"/>
      <c r="F377" s="161"/>
      <c r="G377" s="161" t="s">
        <v>411</v>
      </c>
      <c r="H377" s="162">
        <f t="shared" ref="H377:P377" si="124">SUM(H375:H376)</f>
        <v>37929</v>
      </c>
      <c r="I377" s="162">
        <f t="shared" si="124"/>
        <v>45784</v>
      </c>
      <c r="J377" s="162">
        <f t="shared" si="124"/>
        <v>44444</v>
      </c>
      <c r="K377" s="162">
        <f t="shared" si="124"/>
        <v>43094</v>
      </c>
      <c r="L377" s="162">
        <f t="shared" si="124"/>
        <v>41739</v>
      </c>
      <c r="M377" s="162">
        <f t="shared" si="124"/>
        <v>40414</v>
      </c>
      <c r="N377" s="162">
        <f t="shared" si="124"/>
        <v>39029</v>
      </c>
      <c r="O377" s="162">
        <f t="shared" si="124"/>
        <v>220804</v>
      </c>
      <c r="P377" s="162">
        <f t="shared" si="124"/>
        <v>513237</v>
      </c>
    </row>
    <row r="378" spans="1:16" ht="15.75" customHeight="1" x14ac:dyDescent="0.25">
      <c r="A378" s="469">
        <f>A375+1</f>
        <v>124</v>
      </c>
      <c r="B378" s="470" t="s">
        <v>405</v>
      </c>
      <c r="C378" s="481" t="s">
        <v>863</v>
      </c>
      <c r="D378" s="472">
        <v>44412</v>
      </c>
      <c r="E378" s="474" t="s">
        <v>864</v>
      </c>
      <c r="F378" s="167" t="s">
        <v>865</v>
      </c>
      <c r="G378" s="157" t="s">
        <v>409</v>
      </c>
      <c r="H378" s="158">
        <v>0</v>
      </c>
      <c r="I378" s="158">
        <v>16967</v>
      </c>
      <c r="J378" s="158">
        <v>34148</v>
      </c>
      <c r="K378" s="158">
        <v>34148</v>
      </c>
      <c r="L378" s="158">
        <v>34148</v>
      </c>
      <c r="M378" s="158">
        <v>34148</v>
      </c>
      <c r="N378" s="158">
        <v>34148</v>
      </c>
      <c r="O378" s="158">
        <f>742719</f>
        <v>742719</v>
      </c>
      <c r="P378" s="158">
        <f>SUM(H378:O378)</f>
        <v>930426</v>
      </c>
    </row>
    <row r="379" spans="1:16" ht="15.75" customHeight="1" x14ac:dyDescent="0.25">
      <c r="A379" s="469"/>
      <c r="B379" s="470"/>
      <c r="C379" s="471"/>
      <c r="D379" s="472"/>
      <c r="E379" s="474"/>
      <c r="F379" s="165" t="s">
        <v>866</v>
      </c>
      <c r="G379" s="159" t="s">
        <v>410</v>
      </c>
      <c r="H379" s="160">
        <f>19680+1235</f>
        <v>20915</v>
      </c>
      <c r="I379" s="160">
        <v>46882</v>
      </c>
      <c r="J379" s="160">
        <v>45670</v>
      </c>
      <c r="K379" s="160">
        <v>43956</v>
      </c>
      <c r="L379" s="160">
        <v>42238</v>
      </c>
      <c r="M379" s="160">
        <v>40627</v>
      </c>
      <c r="N379" s="160">
        <v>38798</v>
      </c>
      <c r="O379" s="160">
        <f>37081+381317</f>
        <v>418398</v>
      </c>
      <c r="P379" s="160">
        <f>SUM(H379:O379)</f>
        <v>697484</v>
      </c>
    </row>
    <row r="380" spans="1:16" ht="15.75" customHeight="1" x14ac:dyDescent="0.25">
      <c r="A380" s="469"/>
      <c r="B380" s="470"/>
      <c r="C380" s="471"/>
      <c r="D380" s="472"/>
      <c r="E380" s="474"/>
      <c r="F380" s="161"/>
      <c r="G380" s="161" t="s">
        <v>411</v>
      </c>
      <c r="H380" s="162">
        <f t="shared" ref="H380:P380" si="125">SUM(H378:H379)</f>
        <v>20915</v>
      </c>
      <c r="I380" s="162">
        <f t="shared" si="125"/>
        <v>63849</v>
      </c>
      <c r="J380" s="162">
        <f t="shared" si="125"/>
        <v>79818</v>
      </c>
      <c r="K380" s="162">
        <f t="shared" si="125"/>
        <v>78104</v>
      </c>
      <c r="L380" s="162">
        <f t="shared" si="125"/>
        <v>76386</v>
      </c>
      <c r="M380" s="162">
        <f t="shared" si="125"/>
        <v>74775</v>
      </c>
      <c r="N380" s="162">
        <f t="shared" si="125"/>
        <v>72946</v>
      </c>
      <c r="O380" s="162">
        <f t="shared" si="125"/>
        <v>1161117</v>
      </c>
      <c r="P380" s="162">
        <f t="shared" si="125"/>
        <v>1627910</v>
      </c>
    </row>
    <row r="381" spans="1:16" ht="15.75" customHeight="1" x14ac:dyDescent="0.25">
      <c r="A381" s="469">
        <f>A378+1</f>
        <v>125</v>
      </c>
      <c r="B381" s="470" t="s">
        <v>405</v>
      </c>
      <c r="C381" s="497" t="s">
        <v>867</v>
      </c>
      <c r="D381" s="474" t="s">
        <v>868</v>
      </c>
      <c r="E381" s="474" t="s">
        <v>869</v>
      </c>
      <c r="F381" s="167" t="s">
        <v>870</v>
      </c>
      <c r="G381" s="157" t="s">
        <v>409</v>
      </c>
      <c r="H381" s="158">
        <v>9996</v>
      </c>
      <c r="I381" s="158">
        <v>9996</v>
      </c>
      <c r="J381" s="158">
        <v>9996</v>
      </c>
      <c r="K381" s="158">
        <v>9996</v>
      </c>
      <c r="L381" s="158">
        <v>9996</v>
      </c>
      <c r="M381" s="158">
        <v>6433</v>
      </c>
      <c r="N381" s="158">
        <v>0</v>
      </c>
      <c r="O381" s="158">
        <v>0</v>
      </c>
      <c r="P381" s="158">
        <f>SUM(H381:O381)</f>
        <v>56413</v>
      </c>
    </row>
    <row r="382" spans="1:16" ht="15.75" customHeight="1" x14ac:dyDescent="0.25">
      <c r="A382" s="469"/>
      <c r="B382" s="470"/>
      <c r="C382" s="497"/>
      <c r="D382" s="474"/>
      <c r="E382" s="474"/>
      <c r="F382" s="165" t="s">
        <v>871</v>
      </c>
      <c r="G382" s="159" t="s">
        <v>410</v>
      </c>
      <c r="H382" s="160">
        <v>1470</v>
      </c>
      <c r="I382" s="160">
        <v>2020</v>
      </c>
      <c r="J382" s="160">
        <v>1575</v>
      </c>
      <c r="K382" s="160">
        <v>1125</v>
      </c>
      <c r="L382" s="160">
        <v>673</v>
      </c>
      <c r="M382" s="173">
        <v>222</v>
      </c>
      <c r="N382" s="160">
        <v>0</v>
      </c>
      <c r="O382" s="160">
        <v>0</v>
      </c>
      <c r="P382" s="160">
        <f>SUM(H382:O382)</f>
        <v>7085</v>
      </c>
    </row>
    <row r="383" spans="1:16" ht="15.75" customHeight="1" x14ac:dyDescent="0.25">
      <c r="A383" s="469"/>
      <c r="B383" s="470"/>
      <c r="C383" s="497"/>
      <c r="D383" s="474"/>
      <c r="E383" s="474"/>
      <c r="F383" s="161"/>
      <c r="G383" s="161" t="s">
        <v>411</v>
      </c>
      <c r="H383" s="162">
        <f t="shared" ref="H383:P383" si="126">SUM(H381:H382)</f>
        <v>11466</v>
      </c>
      <c r="I383" s="162">
        <f t="shared" si="126"/>
        <v>12016</v>
      </c>
      <c r="J383" s="162">
        <f t="shared" si="126"/>
        <v>11571</v>
      </c>
      <c r="K383" s="162">
        <f t="shared" si="126"/>
        <v>11121</v>
      </c>
      <c r="L383" s="162">
        <f t="shared" si="126"/>
        <v>10669</v>
      </c>
      <c r="M383" s="162">
        <f t="shared" si="126"/>
        <v>6655</v>
      </c>
      <c r="N383" s="162">
        <f t="shared" si="126"/>
        <v>0</v>
      </c>
      <c r="O383" s="162">
        <f t="shared" si="126"/>
        <v>0</v>
      </c>
      <c r="P383" s="162">
        <f t="shared" si="126"/>
        <v>63498</v>
      </c>
    </row>
    <row r="384" spans="1:16" ht="18" customHeight="1" x14ac:dyDescent="0.25">
      <c r="A384" s="469">
        <f>A381+1</f>
        <v>126</v>
      </c>
      <c r="B384" s="470" t="s">
        <v>405</v>
      </c>
      <c r="C384" s="497" t="s">
        <v>872</v>
      </c>
      <c r="D384" s="474" t="s">
        <v>868</v>
      </c>
      <c r="E384" s="474" t="s">
        <v>869</v>
      </c>
      <c r="F384" s="167" t="s">
        <v>873</v>
      </c>
      <c r="G384" s="157" t="s">
        <v>409</v>
      </c>
      <c r="H384" s="158">
        <v>6072</v>
      </c>
      <c r="I384" s="158">
        <v>6072</v>
      </c>
      <c r="J384" s="158">
        <v>6072</v>
      </c>
      <c r="K384" s="158">
        <v>6072</v>
      </c>
      <c r="L384" s="158">
        <v>6072</v>
      </c>
      <c r="M384" s="158">
        <v>6072</v>
      </c>
      <c r="N384" s="158">
        <v>3891</v>
      </c>
      <c r="O384" s="158">
        <v>0</v>
      </c>
      <c r="P384" s="158">
        <f>SUM(H384:O384)</f>
        <v>40323</v>
      </c>
    </row>
    <row r="385" spans="1:16" ht="15.75" customHeight="1" x14ac:dyDescent="0.25">
      <c r="A385" s="469"/>
      <c r="B385" s="470"/>
      <c r="C385" s="497"/>
      <c r="D385" s="474"/>
      <c r="E385" s="474"/>
      <c r="F385" s="165" t="s">
        <v>874</v>
      </c>
      <c r="G385" s="159" t="s">
        <v>410</v>
      </c>
      <c r="H385" s="160">
        <v>1056</v>
      </c>
      <c r="I385" s="160">
        <v>1500</v>
      </c>
      <c r="J385" s="160">
        <v>1231</v>
      </c>
      <c r="K385" s="160">
        <v>957</v>
      </c>
      <c r="L385" s="160">
        <v>682</v>
      </c>
      <c r="M385" s="160">
        <v>408</v>
      </c>
      <c r="N385" s="173">
        <v>134</v>
      </c>
      <c r="O385" s="160">
        <v>0</v>
      </c>
      <c r="P385" s="160">
        <f>SUM(H385:O385)</f>
        <v>5968</v>
      </c>
    </row>
    <row r="386" spans="1:16" ht="15.75" customHeight="1" x14ac:dyDescent="0.25">
      <c r="A386" s="469"/>
      <c r="B386" s="470"/>
      <c r="C386" s="497"/>
      <c r="D386" s="474"/>
      <c r="E386" s="474"/>
      <c r="F386" s="161"/>
      <c r="G386" s="161" t="s">
        <v>411</v>
      </c>
      <c r="H386" s="162">
        <f t="shared" ref="H386:P386" si="127">SUM(H384:H385)</f>
        <v>7128</v>
      </c>
      <c r="I386" s="162">
        <f t="shared" si="127"/>
        <v>7572</v>
      </c>
      <c r="J386" s="162">
        <f t="shared" si="127"/>
        <v>7303</v>
      </c>
      <c r="K386" s="162">
        <f t="shared" si="127"/>
        <v>7029</v>
      </c>
      <c r="L386" s="162">
        <f t="shared" si="127"/>
        <v>6754</v>
      </c>
      <c r="M386" s="162">
        <f t="shared" si="127"/>
        <v>6480</v>
      </c>
      <c r="N386" s="162">
        <f t="shared" si="127"/>
        <v>4025</v>
      </c>
      <c r="O386" s="162">
        <f t="shared" si="127"/>
        <v>0</v>
      </c>
      <c r="P386" s="162">
        <f t="shared" si="127"/>
        <v>46291</v>
      </c>
    </row>
    <row r="387" spans="1:16" ht="15.75" customHeight="1" x14ac:dyDescent="0.25">
      <c r="A387" s="469">
        <f>A384+1</f>
        <v>127</v>
      </c>
      <c r="B387" s="470" t="s">
        <v>405</v>
      </c>
      <c r="C387" s="498" t="s">
        <v>875</v>
      </c>
      <c r="D387" s="474" t="s">
        <v>868</v>
      </c>
      <c r="E387" s="474" t="s">
        <v>876</v>
      </c>
      <c r="F387" s="167" t="s">
        <v>877</v>
      </c>
      <c r="G387" s="157" t="s">
        <v>409</v>
      </c>
      <c r="H387" s="158">
        <v>13200</v>
      </c>
      <c r="I387" s="158">
        <v>13200</v>
      </c>
      <c r="J387" s="158">
        <v>13200</v>
      </c>
      <c r="K387" s="158">
        <v>13200</v>
      </c>
      <c r="L387" s="158">
        <v>13200</v>
      </c>
      <c r="M387" s="158">
        <v>13200</v>
      </c>
      <c r="N387" s="158">
        <v>13200</v>
      </c>
      <c r="O387" s="158">
        <f>155100</f>
        <v>155100</v>
      </c>
      <c r="P387" s="158">
        <f>SUM(H387:O387)</f>
        <v>247500</v>
      </c>
    </row>
    <row r="388" spans="1:16" ht="15.75" customHeight="1" x14ac:dyDescent="0.25">
      <c r="A388" s="469"/>
      <c r="B388" s="470"/>
      <c r="C388" s="498"/>
      <c r="D388" s="474"/>
      <c r="E388" s="474"/>
      <c r="F388" s="165" t="s">
        <v>878</v>
      </c>
      <c r="G388" s="159" t="s">
        <v>410</v>
      </c>
      <c r="H388" s="160">
        <v>6886</v>
      </c>
      <c r="I388" s="160">
        <v>10755</v>
      </c>
      <c r="J388" s="160">
        <v>10172</v>
      </c>
      <c r="K388" s="160">
        <v>9560</v>
      </c>
      <c r="L388" s="160">
        <v>8947</v>
      </c>
      <c r="M388" s="173">
        <v>8355</v>
      </c>
      <c r="N388" s="173">
        <v>7719</v>
      </c>
      <c r="O388" s="173">
        <f>7106+37749</f>
        <v>44855</v>
      </c>
      <c r="P388" s="160">
        <f>SUM(H388:O388)</f>
        <v>107249</v>
      </c>
    </row>
    <row r="389" spans="1:16" ht="15.75" customHeight="1" x14ac:dyDescent="0.25">
      <c r="A389" s="469"/>
      <c r="B389" s="470"/>
      <c r="C389" s="498"/>
      <c r="D389" s="474"/>
      <c r="E389" s="474"/>
      <c r="F389" s="161"/>
      <c r="G389" s="161" t="s">
        <v>411</v>
      </c>
      <c r="H389" s="162">
        <f t="shared" ref="H389:P389" si="128">SUM(H387:H388)</f>
        <v>20086</v>
      </c>
      <c r="I389" s="162">
        <f t="shared" si="128"/>
        <v>23955</v>
      </c>
      <c r="J389" s="162">
        <f t="shared" si="128"/>
        <v>23372</v>
      </c>
      <c r="K389" s="162">
        <f t="shared" si="128"/>
        <v>22760</v>
      </c>
      <c r="L389" s="162">
        <f t="shared" si="128"/>
        <v>22147</v>
      </c>
      <c r="M389" s="162">
        <f t="shared" si="128"/>
        <v>21555</v>
      </c>
      <c r="N389" s="162">
        <f t="shared" si="128"/>
        <v>20919</v>
      </c>
      <c r="O389" s="162">
        <f t="shared" si="128"/>
        <v>199955</v>
      </c>
      <c r="P389" s="162">
        <f t="shared" si="128"/>
        <v>354749</v>
      </c>
    </row>
    <row r="390" spans="1:16" ht="15.75" customHeight="1" x14ac:dyDescent="0.25">
      <c r="A390" s="469">
        <f>A387+1</f>
        <v>128</v>
      </c>
      <c r="B390" s="470" t="s">
        <v>405</v>
      </c>
      <c r="C390" s="499" t="s">
        <v>879</v>
      </c>
      <c r="D390" s="474" t="s">
        <v>880</v>
      </c>
      <c r="E390" s="474" t="s">
        <v>881</v>
      </c>
      <c r="F390" s="167" t="s">
        <v>882</v>
      </c>
      <c r="G390" s="157" t="s">
        <v>409</v>
      </c>
      <c r="H390" s="158">
        <v>24448</v>
      </c>
      <c r="I390" s="158">
        <v>18336</v>
      </c>
      <c r="J390" s="158">
        <v>0</v>
      </c>
      <c r="K390" s="158">
        <v>0</v>
      </c>
      <c r="L390" s="158">
        <v>0</v>
      </c>
      <c r="M390" s="158">
        <v>0</v>
      </c>
      <c r="N390" s="158">
        <v>0</v>
      </c>
      <c r="O390" s="158">
        <v>0</v>
      </c>
      <c r="P390" s="158">
        <f>SUM(H390:O390)</f>
        <v>42784</v>
      </c>
    </row>
    <row r="391" spans="1:16" ht="15.75" customHeight="1" x14ac:dyDescent="0.25">
      <c r="A391" s="469"/>
      <c r="B391" s="470"/>
      <c r="C391" s="499"/>
      <c r="D391" s="474"/>
      <c r="E391" s="474"/>
      <c r="F391" s="165" t="s">
        <v>883</v>
      </c>
      <c r="G391" s="159" t="s">
        <v>410</v>
      </c>
      <c r="H391" s="160">
        <v>99</v>
      </c>
      <c r="I391" s="160">
        <v>37</v>
      </c>
      <c r="J391" s="160">
        <v>0</v>
      </c>
      <c r="K391" s="160">
        <v>0</v>
      </c>
      <c r="L391" s="160">
        <v>0</v>
      </c>
      <c r="M391" s="160">
        <v>0</v>
      </c>
      <c r="N391" s="160">
        <v>0</v>
      </c>
      <c r="O391" s="160">
        <v>0</v>
      </c>
      <c r="P391" s="160">
        <f>SUM(H391:O391)</f>
        <v>136</v>
      </c>
    </row>
    <row r="392" spans="1:16" ht="20.25" customHeight="1" x14ac:dyDescent="0.25">
      <c r="A392" s="469"/>
      <c r="B392" s="470"/>
      <c r="C392" s="499"/>
      <c r="D392" s="474"/>
      <c r="E392" s="474"/>
      <c r="F392" s="161"/>
      <c r="G392" s="161" t="s">
        <v>411</v>
      </c>
      <c r="H392" s="162">
        <f t="shared" ref="H392:P392" si="129">SUM(H390:H391)</f>
        <v>24547</v>
      </c>
      <c r="I392" s="162">
        <f t="shared" si="129"/>
        <v>18373</v>
      </c>
      <c r="J392" s="162">
        <f t="shared" si="129"/>
        <v>0</v>
      </c>
      <c r="K392" s="162">
        <f t="shared" si="129"/>
        <v>0</v>
      </c>
      <c r="L392" s="162">
        <f t="shared" si="129"/>
        <v>0</v>
      </c>
      <c r="M392" s="162">
        <f t="shared" si="129"/>
        <v>0</v>
      </c>
      <c r="N392" s="162">
        <f t="shared" si="129"/>
        <v>0</v>
      </c>
      <c r="O392" s="162">
        <f t="shared" si="129"/>
        <v>0</v>
      </c>
      <c r="P392" s="162">
        <f t="shared" si="129"/>
        <v>42920</v>
      </c>
    </row>
    <row r="393" spans="1:16" ht="18" customHeight="1" x14ac:dyDescent="0.25">
      <c r="A393" s="469">
        <f>A390+1</f>
        <v>129</v>
      </c>
      <c r="B393" s="470" t="s">
        <v>405</v>
      </c>
      <c r="C393" s="498" t="s">
        <v>884</v>
      </c>
      <c r="D393" s="474" t="s">
        <v>885</v>
      </c>
      <c r="E393" s="474" t="s">
        <v>886</v>
      </c>
      <c r="F393" s="167" t="s">
        <v>887</v>
      </c>
      <c r="G393" s="157" t="s">
        <v>409</v>
      </c>
      <c r="H393" s="158">
        <v>17336</v>
      </c>
      <c r="I393" s="158">
        <v>69368</v>
      </c>
      <c r="J393" s="158">
        <v>69368</v>
      </c>
      <c r="K393" s="158">
        <v>69368</v>
      </c>
      <c r="L393" s="158">
        <v>69368</v>
      </c>
      <c r="M393" s="158">
        <v>69368</v>
      </c>
      <c r="N393" s="158">
        <v>69368</v>
      </c>
      <c r="O393" s="158">
        <f>1179256</f>
        <v>1179256</v>
      </c>
      <c r="P393" s="158">
        <f>SUM(H393:O393)</f>
        <v>1612800</v>
      </c>
    </row>
    <row r="394" spans="1:16" ht="18" customHeight="1" x14ac:dyDescent="0.25">
      <c r="A394" s="469"/>
      <c r="B394" s="470"/>
      <c r="C394" s="498"/>
      <c r="D394" s="474"/>
      <c r="E394" s="474"/>
      <c r="F394" s="165" t="s">
        <v>888</v>
      </c>
      <c r="G394" s="159" t="s">
        <v>410</v>
      </c>
      <c r="H394" s="160">
        <f>45452+894</f>
        <v>46346</v>
      </c>
      <c r="I394" s="160">
        <v>74057</v>
      </c>
      <c r="J394" s="160">
        <v>74218</v>
      </c>
      <c r="K394" s="160">
        <v>70796</v>
      </c>
      <c r="L394" s="160">
        <v>67364</v>
      </c>
      <c r="M394" s="160">
        <v>64104</v>
      </c>
      <c r="N394" s="160">
        <v>60498</v>
      </c>
      <c r="O394" s="160">
        <f>57070+447240</f>
        <v>504310</v>
      </c>
      <c r="P394" s="160">
        <f>SUM(H394:O394)</f>
        <v>961693</v>
      </c>
    </row>
    <row r="395" spans="1:16" ht="16.899999999999999" customHeight="1" x14ac:dyDescent="0.25">
      <c r="A395" s="469"/>
      <c r="B395" s="470"/>
      <c r="C395" s="498"/>
      <c r="D395" s="474"/>
      <c r="E395" s="474"/>
      <c r="F395" s="161"/>
      <c r="G395" s="161" t="s">
        <v>411</v>
      </c>
      <c r="H395" s="162">
        <f t="shared" ref="H395:P395" si="130">SUM(H393:H394)</f>
        <v>63682</v>
      </c>
      <c r="I395" s="162">
        <f t="shared" si="130"/>
        <v>143425</v>
      </c>
      <c r="J395" s="162">
        <f t="shared" si="130"/>
        <v>143586</v>
      </c>
      <c r="K395" s="162">
        <f t="shared" si="130"/>
        <v>140164</v>
      </c>
      <c r="L395" s="162">
        <f t="shared" si="130"/>
        <v>136732</v>
      </c>
      <c r="M395" s="162">
        <f t="shared" si="130"/>
        <v>133472</v>
      </c>
      <c r="N395" s="162">
        <f t="shared" si="130"/>
        <v>129866</v>
      </c>
      <c r="O395" s="162">
        <f t="shared" si="130"/>
        <v>1683566</v>
      </c>
      <c r="P395" s="162">
        <f t="shared" si="130"/>
        <v>2574493</v>
      </c>
    </row>
    <row r="396" spans="1:16" ht="17.45" customHeight="1" x14ac:dyDescent="0.25">
      <c r="A396" s="469">
        <f>A393+1</f>
        <v>130</v>
      </c>
      <c r="B396" s="470" t="s">
        <v>405</v>
      </c>
      <c r="C396" s="500" t="s">
        <v>889</v>
      </c>
      <c r="D396" s="474" t="s">
        <v>890</v>
      </c>
      <c r="E396" s="474" t="s">
        <v>891</v>
      </c>
      <c r="F396" s="167" t="s">
        <v>892</v>
      </c>
      <c r="G396" s="157" t="s">
        <v>409</v>
      </c>
      <c r="H396" s="178">
        <f>4656-744</f>
        <v>3912</v>
      </c>
      <c r="I396" s="178">
        <v>15764</v>
      </c>
      <c r="J396" s="178">
        <v>15764</v>
      </c>
      <c r="K396" s="178">
        <v>15764</v>
      </c>
      <c r="L396" s="178">
        <v>15764</v>
      </c>
      <c r="M396" s="178">
        <v>15764</v>
      </c>
      <c r="N396" s="178">
        <v>15764</v>
      </c>
      <c r="O396" s="178">
        <v>189168</v>
      </c>
      <c r="P396" s="178">
        <f>SUM(H396:O396)</f>
        <v>287664</v>
      </c>
    </row>
    <row r="397" spans="1:16" ht="17.45" customHeight="1" x14ac:dyDescent="0.25">
      <c r="A397" s="469"/>
      <c r="B397" s="470"/>
      <c r="C397" s="500"/>
      <c r="D397" s="474"/>
      <c r="E397" s="474"/>
      <c r="F397" s="165" t="s">
        <v>893</v>
      </c>
      <c r="G397" s="159" t="s">
        <v>410</v>
      </c>
      <c r="H397" s="179">
        <f>10039+301</f>
        <v>10340</v>
      </c>
      <c r="I397" s="179">
        <f>12946+1715</f>
        <v>14661</v>
      </c>
      <c r="J397" s="179">
        <f>12780+1615</f>
        <v>14395</v>
      </c>
      <c r="K397" s="179">
        <f>12023+1519</f>
        <v>13542</v>
      </c>
      <c r="L397" s="179">
        <f>11264+1424</f>
        <v>12688</v>
      </c>
      <c r="M397" s="179">
        <f>10532+1331</f>
        <v>11863</v>
      </c>
      <c r="N397" s="180">
        <f>9744+1232</f>
        <v>10976</v>
      </c>
      <c r="O397" s="180">
        <f>10121+55030</f>
        <v>65151</v>
      </c>
      <c r="P397" s="179">
        <f>SUM(H397:O397)</f>
        <v>153616</v>
      </c>
    </row>
    <row r="398" spans="1:16" ht="17.45" customHeight="1" x14ac:dyDescent="0.25">
      <c r="A398" s="469"/>
      <c r="B398" s="470"/>
      <c r="C398" s="500"/>
      <c r="D398" s="474"/>
      <c r="E398" s="474"/>
      <c r="F398" s="161"/>
      <c r="G398" s="161" t="s">
        <v>411</v>
      </c>
      <c r="H398" s="181">
        <f t="shared" ref="H398:P398" si="131">SUM(H396:H397)</f>
        <v>14252</v>
      </c>
      <c r="I398" s="181">
        <f t="shared" si="131"/>
        <v>30425</v>
      </c>
      <c r="J398" s="181">
        <f t="shared" si="131"/>
        <v>30159</v>
      </c>
      <c r="K398" s="181">
        <f t="shared" si="131"/>
        <v>29306</v>
      </c>
      <c r="L398" s="181">
        <f t="shared" si="131"/>
        <v>28452</v>
      </c>
      <c r="M398" s="181">
        <f t="shared" si="131"/>
        <v>27627</v>
      </c>
      <c r="N398" s="181">
        <f t="shared" si="131"/>
        <v>26740</v>
      </c>
      <c r="O398" s="181">
        <f t="shared" si="131"/>
        <v>254319</v>
      </c>
      <c r="P398" s="181">
        <f t="shared" si="131"/>
        <v>441280</v>
      </c>
    </row>
    <row r="399" spans="1:16" ht="15.75" customHeight="1" x14ac:dyDescent="0.25">
      <c r="A399" s="469">
        <f>A396+1</f>
        <v>131</v>
      </c>
      <c r="B399" s="470" t="s">
        <v>405</v>
      </c>
      <c r="C399" s="500" t="s">
        <v>894</v>
      </c>
      <c r="D399" s="474" t="s">
        <v>890</v>
      </c>
      <c r="E399" s="474" t="s">
        <v>891</v>
      </c>
      <c r="F399" s="167" t="s">
        <v>895</v>
      </c>
      <c r="G399" s="157" t="s">
        <v>409</v>
      </c>
      <c r="H399" s="178">
        <f>8201-807</f>
        <v>7394</v>
      </c>
      <c r="I399" s="178">
        <v>29576</v>
      </c>
      <c r="J399" s="178">
        <v>29576</v>
      </c>
      <c r="K399" s="178">
        <v>29576</v>
      </c>
      <c r="L399" s="178">
        <v>29576</v>
      </c>
      <c r="M399" s="178">
        <v>29576</v>
      </c>
      <c r="N399" s="178">
        <v>29576</v>
      </c>
      <c r="O399" s="178">
        <v>354867</v>
      </c>
      <c r="P399" s="178">
        <f>SUM(H399:O399)</f>
        <v>539717</v>
      </c>
    </row>
    <row r="400" spans="1:16" ht="16.5" customHeight="1" x14ac:dyDescent="0.25">
      <c r="A400" s="469"/>
      <c r="B400" s="470"/>
      <c r="C400" s="500"/>
      <c r="D400" s="474"/>
      <c r="E400" s="474"/>
      <c r="F400" s="165" t="s">
        <v>896</v>
      </c>
      <c r="G400" s="159" t="s">
        <v>410</v>
      </c>
      <c r="H400" s="179">
        <f>17298+237</f>
        <v>17535</v>
      </c>
      <c r="I400" s="179">
        <v>24288</v>
      </c>
      <c r="J400" s="179">
        <v>23975</v>
      </c>
      <c r="K400" s="179">
        <v>22555</v>
      </c>
      <c r="L400" s="179">
        <v>21130</v>
      </c>
      <c r="M400" s="179">
        <v>19758</v>
      </c>
      <c r="N400" s="180">
        <v>18280</v>
      </c>
      <c r="O400" s="180">
        <f>16856+91636</f>
        <v>108492</v>
      </c>
      <c r="P400" s="179">
        <f>SUM(H400:O400)</f>
        <v>256013</v>
      </c>
    </row>
    <row r="401" spans="1:16" ht="15.75" customHeight="1" x14ac:dyDescent="0.25">
      <c r="A401" s="469"/>
      <c r="B401" s="470"/>
      <c r="C401" s="500"/>
      <c r="D401" s="474"/>
      <c r="E401" s="474"/>
      <c r="F401" s="161"/>
      <c r="G401" s="161" t="s">
        <v>411</v>
      </c>
      <c r="H401" s="181">
        <f t="shared" ref="H401:P401" si="132">SUM(H399:H400)</f>
        <v>24929</v>
      </c>
      <c r="I401" s="181">
        <f t="shared" si="132"/>
        <v>53864</v>
      </c>
      <c r="J401" s="181">
        <f t="shared" si="132"/>
        <v>53551</v>
      </c>
      <c r="K401" s="181">
        <f t="shared" si="132"/>
        <v>52131</v>
      </c>
      <c r="L401" s="181">
        <f t="shared" si="132"/>
        <v>50706</v>
      </c>
      <c r="M401" s="181">
        <f t="shared" si="132"/>
        <v>49334</v>
      </c>
      <c r="N401" s="181">
        <f t="shared" si="132"/>
        <v>47856</v>
      </c>
      <c r="O401" s="181">
        <f t="shared" si="132"/>
        <v>463359</v>
      </c>
      <c r="P401" s="181">
        <f t="shared" si="132"/>
        <v>795730</v>
      </c>
    </row>
    <row r="402" spans="1:16" ht="17.25" customHeight="1" x14ac:dyDescent="0.25">
      <c r="A402" s="469">
        <f>A399+1</f>
        <v>132</v>
      </c>
      <c r="B402" s="470" t="s">
        <v>405</v>
      </c>
      <c r="C402" s="471" t="s">
        <v>897</v>
      </c>
      <c r="D402" s="474" t="s">
        <v>898</v>
      </c>
      <c r="E402" s="474" t="s">
        <v>899</v>
      </c>
      <c r="F402" s="163" t="s">
        <v>900</v>
      </c>
      <c r="G402" s="157" t="s">
        <v>409</v>
      </c>
      <c r="H402" s="178">
        <v>0</v>
      </c>
      <c r="I402" s="178">
        <v>60596</v>
      </c>
      <c r="J402" s="178">
        <v>121312</v>
      </c>
      <c r="K402" s="178">
        <v>121312</v>
      </c>
      <c r="L402" s="178">
        <v>121312</v>
      </c>
      <c r="M402" s="178">
        <v>121312</v>
      </c>
      <c r="N402" s="178">
        <v>121312</v>
      </c>
      <c r="O402" s="178">
        <f>2092632</f>
        <v>2092632</v>
      </c>
      <c r="P402" s="178">
        <f>SUM(H402:O402)</f>
        <v>2759788</v>
      </c>
    </row>
    <row r="403" spans="1:16" ht="16.5" customHeight="1" x14ac:dyDescent="0.25">
      <c r="A403" s="469"/>
      <c r="B403" s="470"/>
      <c r="C403" s="471"/>
      <c r="D403" s="474"/>
      <c r="E403" s="474"/>
      <c r="F403" s="165" t="s">
        <v>901</v>
      </c>
      <c r="G403" s="159" t="s">
        <v>410</v>
      </c>
      <c r="H403" s="179">
        <f>69286+13315</f>
        <v>82601</v>
      </c>
      <c r="I403" s="179">
        <v>138415</v>
      </c>
      <c r="J403" s="179">
        <v>139275</v>
      </c>
      <c r="K403" s="179">
        <v>132984</v>
      </c>
      <c r="L403" s="179">
        <v>126676</v>
      </c>
      <c r="M403" s="179">
        <v>120687</v>
      </c>
      <c r="N403" s="180">
        <v>114052</v>
      </c>
      <c r="O403" s="180">
        <f>107748+868405</f>
        <v>976153</v>
      </c>
      <c r="P403" s="179">
        <f>SUM(H403:O403)</f>
        <v>1830843</v>
      </c>
    </row>
    <row r="404" spans="1:16" ht="17.25" customHeight="1" x14ac:dyDescent="0.25">
      <c r="A404" s="469"/>
      <c r="B404" s="470"/>
      <c r="C404" s="471"/>
      <c r="D404" s="474"/>
      <c r="E404" s="474"/>
      <c r="F404" s="161"/>
      <c r="G404" s="161" t="s">
        <v>411</v>
      </c>
      <c r="H404" s="181">
        <f t="shared" ref="H404:P404" si="133">SUM(H402:H403)</f>
        <v>82601</v>
      </c>
      <c r="I404" s="181">
        <f t="shared" si="133"/>
        <v>199011</v>
      </c>
      <c r="J404" s="181">
        <f t="shared" si="133"/>
        <v>260587</v>
      </c>
      <c r="K404" s="181">
        <f t="shared" si="133"/>
        <v>254296</v>
      </c>
      <c r="L404" s="181">
        <f t="shared" si="133"/>
        <v>247988</v>
      </c>
      <c r="M404" s="181">
        <f t="shared" si="133"/>
        <v>241999</v>
      </c>
      <c r="N404" s="181">
        <f t="shared" si="133"/>
        <v>235364</v>
      </c>
      <c r="O404" s="181">
        <f t="shared" si="133"/>
        <v>3068785</v>
      </c>
      <c r="P404" s="181">
        <f t="shared" si="133"/>
        <v>4590631</v>
      </c>
    </row>
    <row r="405" spans="1:16" ht="15.75" customHeight="1" x14ac:dyDescent="0.25">
      <c r="A405" s="469">
        <f>A402+1</f>
        <v>133</v>
      </c>
      <c r="B405" s="470" t="s">
        <v>405</v>
      </c>
      <c r="C405" s="471" t="s">
        <v>902</v>
      </c>
      <c r="D405" s="474" t="s">
        <v>898</v>
      </c>
      <c r="E405" s="474" t="s">
        <v>903</v>
      </c>
      <c r="F405" s="163" t="s">
        <v>904</v>
      </c>
      <c r="G405" s="157" t="s">
        <v>409</v>
      </c>
      <c r="H405" s="178">
        <v>0</v>
      </c>
      <c r="I405" s="178">
        <v>54035</v>
      </c>
      <c r="J405" s="178">
        <v>54060</v>
      </c>
      <c r="K405" s="178">
        <v>54060</v>
      </c>
      <c r="L405" s="178">
        <v>54060</v>
      </c>
      <c r="M405" s="178">
        <v>54060</v>
      </c>
      <c r="N405" s="178">
        <v>54060</v>
      </c>
      <c r="O405" s="178">
        <v>662235</v>
      </c>
      <c r="P405" s="178">
        <f>SUM(H405:O405)</f>
        <v>986570</v>
      </c>
    </row>
    <row r="406" spans="1:16" ht="15.6" customHeight="1" x14ac:dyDescent="0.25">
      <c r="A406" s="469"/>
      <c r="B406" s="470"/>
      <c r="C406" s="471"/>
      <c r="D406" s="474"/>
      <c r="E406" s="474"/>
      <c r="F406" s="165" t="s">
        <v>905</v>
      </c>
      <c r="G406" s="159" t="s">
        <v>410</v>
      </c>
      <c r="H406" s="179">
        <f>24547+3269</f>
        <v>27816</v>
      </c>
      <c r="I406" s="179">
        <v>47613</v>
      </c>
      <c r="J406" s="179">
        <v>46801</v>
      </c>
      <c r="K406" s="179">
        <v>44069</v>
      </c>
      <c r="L406" s="179">
        <v>41330</v>
      </c>
      <c r="M406" s="179">
        <v>38691</v>
      </c>
      <c r="N406" s="180">
        <v>35846</v>
      </c>
      <c r="O406" s="180">
        <f>33108+184095</f>
        <v>217203</v>
      </c>
      <c r="P406" s="179">
        <f>SUM(H406:O406)</f>
        <v>499369</v>
      </c>
    </row>
    <row r="407" spans="1:16" ht="15.6" customHeight="1" x14ac:dyDescent="0.25">
      <c r="A407" s="469"/>
      <c r="B407" s="470"/>
      <c r="C407" s="471"/>
      <c r="D407" s="474"/>
      <c r="E407" s="474"/>
      <c r="F407" s="161"/>
      <c r="G407" s="161" t="s">
        <v>411</v>
      </c>
      <c r="H407" s="181">
        <f t="shared" ref="H407:P407" si="134">SUM(H405:H406)</f>
        <v>27816</v>
      </c>
      <c r="I407" s="181">
        <f t="shared" si="134"/>
        <v>101648</v>
      </c>
      <c r="J407" s="181">
        <f t="shared" si="134"/>
        <v>100861</v>
      </c>
      <c r="K407" s="181">
        <f t="shared" si="134"/>
        <v>98129</v>
      </c>
      <c r="L407" s="181">
        <f t="shared" si="134"/>
        <v>95390</v>
      </c>
      <c r="M407" s="181">
        <f t="shared" si="134"/>
        <v>92751</v>
      </c>
      <c r="N407" s="181">
        <f t="shared" si="134"/>
        <v>89906</v>
      </c>
      <c r="O407" s="181">
        <f t="shared" si="134"/>
        <v>879438</v>
      </c>
      <c r="P407" s="181">
        <f t="shared" si="134"/>
        <v>1485939</v>
      </c>
    </row>
    <row r="408" spans="1:16" ht="16.5" customHeight="1" x14ac:dyDescent="0.25">
      <c r="A408" s="469">
        <f>A405+1</f>
        <v>134</v>
      </c>
      <c r="B408" s="470" t="s">
        <v>405</v>
      </c>
      <c r="C408" s="481" t="s">
        <v>906</v>
      </c>
      <c r="D408" s="474" t="s">
        <v>907</v>
      </c>
      <c r="E408" s="474" t="s">
        <v>908</v>
      </c>
      <c r="F408" s="163" t="s">
        <v>909</v>
      </c>
      <c r="G408" s="157" t="s">
        <v>409</v>
      </c>
      <c r="H408" s="178">
        <v>0</v>
      </c>
      <c r="I408" s="178">
        <v>24878</v>
      </c>
      <c r="J408" s="178">
        <v>49856</v>
      </c>
      <c r="K408" s="178">
        <v>49856</v>
      </c>
      <c r="L408" s="178">
        <v>49856</v>
      </c>
      <c r="M408" s="178">
        <v>49856</v>
      </c>
      <c r="N408" s="178">
        <v>49856</v>
      </c>
      <c r="O408" s="178">
        <f>623200</f>
        <v>623200</v>
      </c>
      <c r="P408" s="178">
        <f>SUM(H408:O408)</f>
        <v>897358</v>
      </c>
    </row>
    <row r="409" spans="1:16" ht="16.5" customHeight="1" x14ac:dyDescent="0.25">
      <c r="A409" s="469"/>
      <c r="B409" s="470"/>
      <c r="C409" s="481"/>
      <c r="D409" s="474"/>
      <c r="E409" s="474"/>
      <c r="F409" s="165" t="s">
        <v>910</v>
      </c>
      <c r="G409" s="159" t="s">
        <v>410</v>
      </c>
      <c r="H409" s="179">
        <f>16046+6946</f>
        <v>22992</v>
      </c>
      <c r="I409" s="179">
        <v>50244</v>
      </c>
      <c r="J409" s="179">
        <v>48308</v>
      </c>
      <c r="K409" s="179">
        <v>45529</v>
      </c>
      <c r="L409" s="179">
        <v>42742</v>
      </c>
      <c r="M409" s="179">
        <v>40059</v>
      </c>
      <c r="N409" s="180">
        <v>37164</v>
      </c>
      <c r="O409" s="180">
        <f>34378+195501</f>
        <v>229879</v>
      </c>
      <c r="P409" s="179">
        <f>SUM(H409:O409)</f>
        <v>516917</v>
      </c>
    </row>
    <row r="410" spans="1:16" ht="16.5" customHeight="1" x14ac:dyDescent="0.25">
      <c r="A410" s="469"/>
      <c r="B410" s="470"/>
      <c r="C410" s="481"/>
      <c r="D410" s="474"/>
      <c r="E410" s="474"/>
      <c r="F410" s="161"/>
      <c r="G410" s="161" t="s">
        <v>411</v>
      </c>
      <c r="H410" s="181">
        <f t="shared" ref="H410:P410" si="135">SUM(H408:H409)</f>
        <v>22992</v>
      </c>
      <c r="I410" s="181">
        <f t="shared" si="135"/>
        <v>75122</v>
      </c>
      <c r="J410" s="181">
        <f t="shared" si="135"/>
        <v>98164</v>
      </c>
      <c r="K410" s="181">
        <f t="shared" si="135"/>
        <v>95385</v>
      </c>
      <c r="L410" s="181">
        <f t="shared" si="135"/>
        <v>92598</v>
      </c>
      <c r="M410" s="181">
        <f t="shared" si="135"/>
        <v>89915</v>
      </c>
      <c r="N410" s="181">
        <f t="shared" si="135"/>
        <v>87020</v>
      </c>
      <c r="O410" s="181">
        <f t="shared" si="135"/>
        <v>853079</v>
      </c>
      <c r="P410" s="181">
        <f t="shared" si="135"/>
        <v>1414275</v>
      </c>
    </row>
    <row r="411" spans="1:16" ht="16.149999999999999" customHeight="1" x14ac:dyDescent="0.25">
      <c r="A411" s="469">
        <f>A408+1</f>
        <v>135</v>
      </c>
      <c r="B411" s="470" t="s">
        <v>405</v>
      </c>
      <c r="C411" s="471" t="s">
        <v>911</v>
      </c>
      <c r="D411" s="474" t="s">
        <v>912</v>
      </c>
      <c r="E411" s="474" t="s">
        <v>913</v>
      </c>
      <c r="F411" s="163" t="s">
        <v>914</v>
      </c>
      <c r="G411" s="157" t="s">
        <v>409</v>
      </c>
      <c r="H411" s="178">
        <v>0</v>
      </c>
      <c r="I411" s="178">
        <v>9461</v>
      </c>
      <c r="J411" s="178">
        <v>9500</v>
      </c>
      <c r="K411" s="178">
        <v>9500</v>
      </c>
      <c r="L411" s="178">
        <v>9500</v>
      </c>
      <c r="M411" s="178">
        <v>9500</v>
      </c>
      <c r="N411" s="178">
        <v>9500</v>
      </c>
      <c r="O411" s="178">
        <f>73625</f>
        <v>73625</v>
      </c>
      <c r="P411" s="178">
        <f>SUM(H411:O411)</f>
        <v>130586</v>
      </c>
    </row>
    <row r="412" spans="1:16" ht="16.149999999999999" customHeight="1" x14ac:dyDescent="0.25">
      <c r="A412" s="469"/>
      <c r="B412" s="470"/>
      <c r="C412" s="471"/>
      <c r="D412" s="472"/>
      <c r="E412" s="472"/>
      <c r="F412" s="165" t="s">
        <v>915</v>
      </c>
      <c r="G412" s="159" t="s">
        <v>410</v>
      </c>
      <c r="H412" s="179">
        <f>3672+135</f>
        <v>3807</v>
      </c>
      <c r="I412" s="179">
        <v>7534</v>
      </c>
      <c r="J412" s="179">
        <v>6993</v>
      </c>
      <c r="K412" s="179">
        <v>6439</v>
      </c>
      <c r="L412" s="179">
        <v>5884</v>
      </c>
      <c r="M412" s="179">
        <v>5341</v>
      </c>
      <c r="N412" s="180">
        <v>4772</v>
      </c>
      <c r="O412" s="180">
        <f>4216+13560</f>
        <v>17776</v>
      </c>
      <c r="P412" s="179">
        <f>SUM(H412:O412)</f>
        <v>58546</v>
      </c>
    </row>
    <row r="413" spans="1:16" ht="16.149999999999999" customHeight="1" x14ac:dyDescent="0.25">
      <c r="A413" s="469"/>
      <c r="B413" s="470"/>
      <c r="C413" s="471"/>
      <c r="D413" s="472"/>
      <c r="E413" s="472"/>
      <c r="F413" s="161"/>
      <c r="G413" s="161" t="s">
        <v>411</v>
      </c>
      <c r="H413" s="181">
        <f t="shared" ref="H413:P413" si="136">SUM(H411:H412)</f>
        <v>3807</v>
      </c>
      <c r="I413" s="181">
        <f t="shared" si="136"/>
        <v>16995</v>
      </c>
      <c r="J413" s="181">
        <f t="shared" si="136"/>
        <v>16493</v>
      </c>
      <c r="K413" s="181">
        <f t="shared" si="136"/>
        <v>15939</v>
      </c>
      <c r="L413" s="181">
        <f t="shared" si="136"/>
        <v>15384</v>
      </c>
      <c r="M413" s="181">
        <f t="shared" si="136"/>
        <v>14841</v>
      </c>
      <c r="N413" s="181">
        <f t="shared" si="136"/>
        <v>14272</v>
      </c>
      <c r="O413" s="181">
        <f t="shared" si="136"/>
        <v>91401</v>
      </c>
      <c r="P413" s="181">
        <f t="shared" si="136"/>
        <v>189132</v>
      </c>
    </row>
    <row r="414" spans="1:16" ht="16.149999999999999" customHeight="1" x14ac:dyDescent="0.25">
      <c r="A414" s="469">
        <f>A411+1</f>
        <v>136</v>
      </c>
      <c r="B414" s="470" t="s">
        <v>405</v>
      </c>
      <c r="C414" s="471" t="s">
        <v>916</v>
      </c>
      <c r="D414" s="474" t="s">
        <v>912</v>
      </c>
      <c r="E414" s="474" t="s">
        <v>645</v>
      </c>
      <c r="F414" s="163" t="s">
        <v>917</v>
      </c>
      <c r="G414" s="157" t="s">
        <v>409</v>
      </c>
      <c r="H414" s="178">
        <v>0</v>
      </c>
      <c r="I414" s="178">
        <v>15434</v>
      </c>
      <c r="J414" s="178">
        <v>15468</v>
      </c>
      <c r="K414" s="178">
        <v>15468</v>
      </c>
      <c r="L414" s="178">
        <v>15468</v>
      </c>
      <c r="M414" s="178">
        <v>15468</v>
      </c>
      <c r="N414" s="178">
        <v>15468</v>
      </c>
      <c r="O414" s="178">
        <f>42537</f>
        <v>42537</v>
      </c>
      <c r="P414" s="178">
        <f>SUM(H414:O414)</f>
        <v>135311</v>
      </c>
    </row>
    <row r="415" spans="1:16" ht="16.149999999999999" customHeight="1" x14ac:dyDescent="0.25">
      <c r="A415" s="469"/>
      <c r="B415" s="470"/>
      <c r="C415" s="471"/>
      <c r="D415" s="472"/>
      <c r="E415" s="472"/>
      <c r="F415" s="165" t="s">
        <v>918</v>
      </c>
      <c r="G415" s="159" t="s">
        <v>410</v>
      </c>
      <c r="H415" s="179">
        <f>3586+139</f>
        <v>3725</v>
      </c>
      <c r="I415" s="179">
        <v>7500</v>
      </c>
      <c r="J415" s="179">
        <v>6658</v>
      </c>
      <c r="K415" s="179">
        <v>5783</v>
      </c>
      <c r="L415" s="179">
        <v>4905</v>
      </c>
      <c r="M415" s="179">
        <v>4038</v>
      </c>
      <c r="N415" s="180">
        <v>3150</v>
      </c>
      <c r="O415" s="180">
        <f>2273+1885</f>
        <v>4158</v>
      </c>
      <c r="P415" s="179">
        <f>SUM(H415:O415)</f>
        <v>39917</v>
      </c>
    </row>
    <row r="416" spans="1:16" ht="15" customHeight="1" x14ac:dyDescent="0.25">
      <c r="A416" s="469"/>
      <c r="B416" s="470"/>
      <c r="C416" s="471"/>
      <c r="D416" s="472"/>
      <c r="E416" s="472"/>
      <c r="F416" s="161"/>
      <c r="G416" s="161" t="s">
        <v>411</v>
      </c>
      <c r="H416" s="181">
        <f t="shared" ref="H416:P416" si="137">SUM(H414:H415)</f>
        <v>3725</v>
      </c>
      <c r="I416" s="181">
        <f t="shared" si="137"/>
        <v>22934</v>
      </c>
      <c r="J416" s="181">
        <f t="shared" si="137"/>
        <v>22126</v>
      </c>
      <c r="K416" s="181">
        <f t="shared" si="137"/>
        <v>21251</v>
      </c>
      <c r="L416" s="181">
        <f t="shared" si="137"/>
        <v>20373</v>
      </c>
      <c r="M416" s="181">
        <f t="shared" si="137"/>
        <v>19506</v>
      </c>
      <c r="N416" s="181">
        <f t="shared" si="137"/>
        <v>18618</v>
      </c>
      <c r="O416" s="181">
        <f t="shared" si="137"/>
        <v>46695</v>
      </c>
      <c r="P416" s="181">
        <f t="shared" si="137"/>
        <v>175228</v>
      </c>
    </row>
    <row r="417" spans="1:16" ht="15" customHeight="1" x14ac:dyDescent="0.25">
      <c r="A417" s="469">
        <f>A414+1</f>
        <v>137</v>
      </c>
      <c r="B417" s="470" t="s">
        <v>405</v>
      </c>
      <c r="C417" s="501" t="s">
        <v>919</v>
      </c>
      <c r="D417" s="474" t="s">
        <v>912</v>
      </c>
      <c r="E417" s="474" t="s">
        <v>913</v>
      </c>
      <c r="F417" s="163" t="s">
        <v>920</v>
      </c>
      <c r="G417" s="157" t="s">
        <v>409</v>
      </c>
      <c r="H417" s="178">
        <v>0</v>
      </c>
      <c r="I417" s="178">
        <v>13564</v>
      </c>
      <c r="J417" s="178">
        <v>13616</v>
      </c>
      <c r="K417" s="178">
        <v>13616</v>
      </c>
      <c r="L417" s="178">
        <v>13616</v>
      </c>
      <c r="M417" s="178">
        <v>13616</v>
      </c>
      <c r="N417" s="178">
        <v>13616</v>
      </c>
      <c r="O417" s="178">
        <f>105524</f>
        <v>105524</v>
      </c>
      <c r="P417" s="178">
        <f>SUM(H417:O417)</f>
        <v>187168</v>
      </c>
    </row>
    <row r="418" spans="1:16" ht="17.25" customHeight="1" x14ac:dyDescent="0.25">
      <c r="A418" s="469"/>
      <c r="B418" s="470"/>
      <c r="C418" s="501"/>
      <c r="D418" s="472"/>
      <c r="E418" s="472"/>
      <c r="F418" s="165" t="s">
        <v>921</v>
      </c>
      <c r="G418" s="159" t="s">
        <v>410</v>
      </c>
      <c r="H418" s="179">
        <f>5720+193</f>
        <v>5913</v>
      </c>
      <c r="I418" s="179">
        <v>10798</v>
      </c>
      <c r="J418" s="179">
        <v>10023</v>
      </c>
      <c r="K418" s="179">
        <v>9229</v>
      </c>
      <c r="L418" s="179">
        <v>8433</v>
      </c>
      <c r="M418" s="179">
        <v>7656</v>
      </c>
      <c r="N418" s="180">
        <v>6839</v>
      </c>
      <c r="O418" s="180">
        <f>6043+20008</f>
        <v>26051</v>
      </c>
      <c r="P418" s="179">
        <f>SUM(H418:O418)</f>
        <v>84942</v>
      </c>
    </row>
    <row r="419" spans="1:16" x14ac:dyDescent="0.25">
      <c r="A419" s="469"/>
      <c r="B419" s="470"/>
      <c r="C419" s="501"/>
      <c r="D419" s="472"/>
      <c r="E419" s="472"/>
      <c r="F419" s="182"/>
      <c r="G419" s="161" t="s">
        <v>411</v>
      </c>
      <c r="H419" s="181">
        <f t="shared" ref="H419:P419" si="138">SUM(H417:H418)</f>
        <v>5913</v>
      </c>
      <c r="I419" s="181">
        <f t="shared" si="138"/>
        <v>24362</v>
      </c>
      <c r="J419" s="181">
        <f t="shared" si="138"/>
        <v>23639</v>
      </c>
      <c r="K419" s="181">
        <f t="shared" si="138"/>
        <v>22845</v>
      </c>
      <c r="L419" s="181">
        <f t="shared" si="138"/>
        <v>22049</v>
      </c>
      <c r="M419" s="181">
        <f t="shared" si="138"/>
        <v>21272</v>
      </c>
      <c r="N419" s="181">
        <f t="shared" si="138"/>
        <v>20455</v>
      </c>
      <c r="O419" s="181">
        <f t="shared" si="138"/>
        <v>131575</v>
      </c>
      <c r="P419" s="181">
        <f t="shared" si="138"/>
        <v>272110</v>
      </c>
    </row>
    <row r="420" spans="1:16" ht="15.6" customHeight="1" x14ac:dyDescent="0.25">
      <c r="A420" s="469">
        <f>A417+1</f>
        <v>138</v>
      </c>
      <c r="B420" s="470" t="s">
        <v>405</v>
      </c>
      <c r="C420" s="481" t="s">
        <v>922</v>
      </c>
      <c r="D420" s="474" t="s">
        <v>912</v>
      </c>
      <c r="E420" s="474" t="s">
        <v>913</v>
      </c>
      <c r="F420" s="163" t="s">
        <v>923</v>
      </c>
      <c r="G420" s="157" t="s">
        <v>409</v>
      </c>
      <c r="H420" s="183">
        <v>0</v>
      </c>
      <c r="I420" s="183">
        <v>9488</v>
      </c>
      <c r="J420" s="183">
        <v>9512</v>
      </c>
      <c r="K420" s="183">
        <v>9512</v>
      </c>
      <c r="L420" s="183">
        <v>9512</v>
      </c>
      <c r="M420" s="183">
        <v>9512</v>
      </c>
      <c r="N420" s="183">
        <v>9512</v>
      </c>
      <c r="O420" s="183">
        <f>73718</f>
        <v>73718</v>
      </c>
      <c r="P420" s="178">
        <f>SUM(H420:O420)</f>
        <v>130766</v>
      </c>
    </row>
    <row r="421" spans="1:16" ht="15" customHeight="1" x14ac:dyDescent="0.25">
      <c r="A421" s="469"/>
      <c r="B421" s="470"/>
      <c r="C421" s="481"/>
      <c r="D421" s="472"/>
      <c r="E421" s="472"/>
      <c r="F421" s="165" t="s">
        <v>924</v>
      </c>
      <c r="G421" s="159" t="s">
        <v>410</v>
      </c>
      <c r="H421" s="184">
        <f>3936+135</f>
        <v>4071</v>
      </c>
      <c r="I421" s="184">
        <v>7544</v>
      </c>
      <c r="J421" s="184">
        <v>7002</v>
      </c>
      <c r="K421" s="184">
        <v>6447</v>
      </c>
      <c r="L421" s="184">
        <v>5891</v>
      </c>
      <c r="M421" s="184">
        <v>5348</v>
      </c>
      <c r="N421" s="185">
        <v>4778</v>
      </c>
      <c r="O421" s="185">
        <f>4222+13977</f>
        <v>18199</v>
      </c>
      <c r="P421" s="179">
        <f>SUM(H421:O421)</f>
        <v>59280</v>
      </c>
    </row>
    <row r="422" spans="1:16" x14ac:dyDescent="0.25">
      <c r="A422" s="469"/>
      <c r="B422" s="470"/>
      <c r="C422" s="481"/>
      <c r="D422" s="472"/>
      <c r="E422" s="472"/>
      <c r="F422" s="182"/>
      <c r="G422" s="161" t="s">
        <v>411</v>
      </c>
      <c r="H422" s="181">
        <f t="shared" ref="H422:P422" si="139">SUM(H420:H421)</f>
        <v>4071</v>
      </c>
      <c r="I422" s="181">
        <f t="shared" si="139"/>
        <v>17032</v>
      </c>
      <c r="J422" s="181">
        <f t="shared" si="139"/>
        <v>16514</v>
      </c>
      <c r="K422" s="181">
        <f t="shared" si="139"/>
        <v>15959</v>
      </c>
      <c r="L422" s="181">
        <f t="shared" si="139"/>
        <v>15403</v>
      </c>
      <c r="M422" s="181">
        <f t="shared" si="139"/>
        <v>14860</v>
      </c>
      <c r="N422" s="181">
        <f t="shared" si="139"/>
        <v>14290</v>
      </c>
      <c r="O422" s="181">
        <f t="shared" si="139"/>
        <v>91917</v>
      </c>
      <c r="P422" s="181">
        <f t="shared" si="139"/>
        <v>190046</v>
      </c>
    </row>
    <row r="423" spans="1:16" ht="15.75" customHeight="1" x14ac:dyDescent="0.25">
      <c r="A423" s="469">
        <f>A420+1</f>
        <v>139</v>
      </c>
      <c r="B423" s="470" t="s">
        <v>405</v>
      </c>
      <c r="C423" s="471" t="s">
        <v>925</v>
      </c>
      <c r="D423" s="474" t="s">
        <v>912</v>
      </c>
      <c r="E423" s="474" t="s">
        <v>913</v>
      </c>
      <c r="F423" s="163" t="s">
        <v>926</v>
      </c>
      <c r="G423" s="157" t="s">
        <v>409</v>
      </c>
      <c r="H423" s="183">
        <v>0</v>
      </c>
      <c r="I423" s="183">
        <v>35127</v>
      </c>
      <c r="J423" s="183">
        <v>35180</v>
      </c>
      <c r="K423" s="183">
        <v>35180</v>
      </c>
      <c r="L423" s="183">
        <v>35180</v>
      </c>
      <c r="M423" s="183">
        <v>35180</v>
      </c>
      <c r="N423" s="183">
        <v>35180</v>
      </c>
      <c r="O423" s="183">
        <f>483672-211027</f>
        <v>272645</v>
      </c>
      <c r="P423" s="178">
        <f>SUM(H423:O423)</f>
        <v>483672</v>
      </c>
    </row>
    <row r="424" spans="1:16" ht="14.25" customHeight="1" x14ac:dyDescent="0.25">
      <c r="A424" s="469"/>
      <c r="B424" s="470"/>
      <c r="C424" s="471"/>
      <c r="D424" s="472"/>
      <c r="E424" s="472"/>
      <c r="F424" s="165" t="s">
        <v>927</v>
      </c>
      <c r="G424" s="159" t="s">
        <v>410</v>
      </c>
      <c r="H424" s="184">
        <f>6595+1485</f>
        <v>8080</v>
      </c>
      <c r="I424" s="184">
        <v>22987</v>
      </c>
      <c r="J424" s="184">
        <v>20997</v>
      </c>
      <c r="K424" s="184">
        <v>18945</v>
      </c>
      <c r="L424" s="184">
        <v>16887</v>
      </c>
      <c r="M424" s="184">
        <v>14867</v>
      </c>
      <c r="N424" s="184">
        <v>12769</v>
      </c>
      <c r="O424" s="184">
        <f>10713+22844</f>
        <v>33557</v>
      </c>
      <c r="P424" s="179">
        <f>SUM(H424:O424)</f>
        <v>149089</v>
      </c>
    </row>
    <row r="425" spans="1:16" ht="14.25" customHeight="1" x14ac:dyDescent="0.25">
      <c r="A425" s="469"/>
      <c r="B425" s="470"/>
      <c r="C425" s="471"/>
      <c r="D425" s="472"/>
      <c r="E425" s="472"/>
      <c r="F425" s="182"/>
      <c r="G425" s="161" t="s">
        <v>411</v>
      </c>
      <c r="H425" s="181">
        <f t="shared" ref="H425:P425" si="140">SUM(H423:H424)</f>
        <v>8080</v>
      </c>
      <c r="I425" s="181">
        <f t="shared" si="140"/>
        <v>58114</v>
      </c>
      <c r="J425" s="181">
        <f t="shared" si="140"/>
        <v>56177</v>
      </c>
      <c r="K425" s="181">
        <f t="shared" si="140"/>
        <v>54125</v>
      </c>
      <c r="L425" s="181">
        <f t="shared" si="140"/>
        <v>52067</v>
      </c>
      <c r="M425" s="181">
        <f t="shared" si="140"/>
        <v>50047</v>
      </c>
      <c r="N425" s="181">
        <f t="shared" si="140"/>
        <v>47949</v>
      </c>
      <c r="O425" s="181">
        <f t="shared" si="140"/>
        <v>306202</v>
      </c>
      <c r="P425" s="181">
        <f t="shared" si="140"/>
        <v>632761</v>
      </c>
    </row>
    <row r="426" spans="1:16" ht="15.6" customHeight="1" x14ac:dyDescent="0.25">
      <c r="A426" s="469">
        <f>A423+1</f>
        <v>140</v>
      </c>
      <c r="B426" s="470" t="s">
        <v>405</v>
      </c>
      <c r="C426" s="471" t="s">
        <v>928</v>
      </c>
      <c r="D426" s="488" t="s">
        <v>929</v>
      </c>
      <c r="E426" s="488" t="s">
        <v>541</v>
      </c>
      <c r="F426" s="163" t="s">
        <v>930</v>
      </c>
      <c r="G426" s="157" t="s">
        <v>409</v>
      </c>
      <c r="H426" s="183">
        <v>0</v>
      </c>
      <c r="I426" s="183">
        <v>14397</v>
      </c>
      <c r="J426" s="183">
        <v>14408</v>
      </c>
      <c r="K426" s="183">
        <v>14408</v>
      </c>
      <c r="L426" s="183">
        <v>14408</v>
      </c>
      <c r="M426" s="183">
        <v>14408</v>
      </c>
      <c r="N426" s="183">
        <v>14408</v>
      </c>
      <c r="O426" s="183">
        <f>183702</f>
        <v>183702</v>
      </c>
      <c r="P426" s="178">
        <f>SUM(H426:O426)</f>
        <v>270139</v>
      </c>
    </row>
    <row r="427" spans="1:16" ht="14.25" customHeight="1" x14ac:dyDescent="0.25">
      <c r="A427" s="469"/>
      <c r="B427" s="470"/>
      <c r="C427" s="471"/>
      <c r="D427" s="469"/>
      <c r="E427" s="469"/>
      <c r="F427" s="165" t="s">
        <v>931</v>
      </c>
      <c r="G427" s="159" t="s">
        <v>410</v>
      </c>
      <c r="H427" s="184">
        <f>7819+973</f>
        <v>8792</v>
      </c>
      <c r="I427" s="184">
        <v>15039</v>
      </c>
      <c r="J427" s="184">
        <v>14239</v>
      </c>
      <c r="K427" s="184">
        <v>13431</v>
      </c>
      <c r="L427" s="184">
        <v>12622</v>
      </c>
      <c r="M427" s="184">
        <v>11843</v>
      </c>
      <c r="N427" s="184">
        <v>11001</v>
      </c>
      <c r="O427" s="184">
        <f>10191+59212</f>
        <v>69403</v>
      </c>
      <c r="P427" s="179">
        <f>SUM(H427:O427)</f>
        <v>156370</v>
      </c>
    </row>
    <row r="428" spans="1:16" ht="14.25" customHeight="1" x14ac:dyDescent="0.25">
      <c r="A428" s="469"/>
      <c r="B428" s="470"/>
      <c r="C428" s="471"/>
      <c r="D428" s="469"/>
      <c r="E428" s="469"/>
      <c r="F428" s="182"/>
      <c r="G428" s="161" t="s">
        <v>411</v>
      </c>
      <c r="H428" s="181">
        <f t="shared" ref="H428:P428" si="141">SUM(H426:H427)</f>
        <v>8792</v>
      </c>
      <c r="I428" s="181">
        <f t="shared" si="141"/>
        <v>29436</v>
      </c>
      <c r="J428" s="181">
        <f t="shared" si="141"/>
        <v>28647</v>
      </c>
      <c r="K428" s="181">
        <f t="shared" si="141"/>
        <v>27839</v>
      </c>
      <c r="L428" s="181">
        <f t="shared" si="141"/>
        <v>27030</v>
      </c>
      <c r="M428" s="181">
        <f t="shared" si="141"/>
        <v>26251</v>
      </c>
      <c r="N428" s="181">
        <f t="shared" si="141"/>
        <v>25409</v>
      </c>
      <c r="O428" s="181">
        <f t="shared" si="141"/>
        <v>253105</v>
      </c>
      <c r="P428" s="181">
        <f t="shared" si="141"/>
        <v>426509</v>
      </c>
    </row>
    <row r="429" spans="1:16" ht="14.45" customHeight="1" x14ac:dyDescent="0.25">
      <c r="A429" s="469">
        <f>A426+1</f>
        <v>141</v>
      </c>
      <c r="B429" s="470" t="s">
        <v>405</v>
      </c>
      <c r="C429" s="481" t="s">
        <v>932</v>
      </c>
      <c r="D429" s="488" t="s">
        <v>933</v>
      </c>
      <c r="E429" s="488" t="s">
        <v>934</v>
      </c>
      <c r="F429" s="163" t="s">
        <v>935</v>
      </c>
      <c r="G429" s="157" t="s">
        <v>409</v>
      </c>
      <c r="H429" s="183">
        <v>0</v>
      </c>
      <c r="I429" s="183">
        <v>13242</v>
      </c>
      <c r="J429" s="183">
        <v>17660</v>
      </c>
      <c r="K429" s="183">
        <v>17660</v>
      </c>
      <c r="L429" s="183">
        <v>17660</v>
      </c>
      <c r="M429" s="183">
        <v>17660</v>
      </c>
      <c r="N429" s="183">
        <v>17660</v>
      </c>
      <c r="O429" s="183">
        <f>141280</f>
        <v>141280</v>
      </c>
      <c r="P429" s="178">
        <f>SUM(H429:O429)</f>
        <v>242822</v>
      </c>
    </row>
    <row r="430" spans="1:16" ht="15.75" customHeight="1" x14ac:dyDescent="0.25">
      <c r="A430" s="469"/>
      <c r="B430" s="470"/>
      <c r="C430" s="481"/>
      <c r="D430" s="469"/>
      <c r="E430" s="469"/>
      <c r="F430" s="165" t="s">
        <v>936</v>
      </c>
      <c r="G430" s="159" t="s">
        <v>410</v>
      </c>
      <c r="H430" s="184">
        <f>10012</f>
        <v>10012</v>
      </c>
      <c r="I430" s="184">
        <v>13804</v>
      </c>
      <c r="J430" s="184">
        <v>13144</v>
      </c>
      <c r="K430" s="184">
        <v>12122</v>
      </c>
      <c r="L430" s="184">
        <v>11098</v>
      </c>
      <c r="M430" s="184">
        <v>10100</v>
      </c>
      <c r="N430" s="184">
        <v>9049</v>
      </c>
      <c r="O430" s="184">
        <f>8026+27575</f>
        <v>35601</v>
      </c>
      <c r="P430" s="179">
        <f>SUM(H430:O430)</f>
        <v>114930</v>
      </c>
    </row>
    <row r="431" spans="1:16" ht="15.75" customHeight="1" x14ac:dyDescent="0.25">
      <c r="A431" s="469"/>
      <c r="B431" s="470"/>
      <c r="C431" s="481"/>
      <c r="D431" s="469"/>
      <c r="E431" s="469"/>
      <c r="F431" s="182"/>
      <c r="G431" s="161" t="s">
        <v>411</v>
      </c>
      <c r="H431" s="181">
        <f t="shared" ref="H431:P431" si="142">SUM(H429:H430)</f>
        <v>10012</v>
      </c>
      <c r="I431" s="181">
        <f t="shared" si="142"/>
        <v>27046</v>
      </c>
      <c r="J431" s="181">
        <f t="shared" si="142"/>
        <v>30804</v>
      </c>
      <c r="K431" s="181">
        <f t="shared" si="142"/>
        <v>29782</v>
      </c>
      <c r="L431" s="181">
        <f t="shared" si="142"/>
        <v>28758</v>
      </c>
      <c r="M431" s="181">
        <f t="shared" si="142"/>
        <v>27760</v>
      </c>
      <c r="N431" s="181">
        <f t="shared" si="142"/>
        <v>26709</v>
      </c>
      <c r="O431" s="181">
        <f t="shared" si="142"/>
        <v>176881</v>
      </c>
      <c r="P431" s="181">
        <f t="shared" si="142"/>
        <v>357752</v>
      </c>
    </row>
    <row r="432" spans="1:16" ht="15.75" customHeight="1" x14ac:dyDescent="0.25">
      <c r="A432" s="469">
        <f>A429+1</f>
        <v>142</v>
      </c>
      <c r="B432" s="470" t="s">
        <v>405</v>
      </c>
      <c r="C432" s="502" t="s">
        <v>937</v>
      </c>
      <c r="D432" s="503" t="s">
        <v>938</v>
      </c>
      <c r="E432" s="503" t="s">
        <v>683</v>
      </c>
      <c r="F432" s="163" t="s">
        <v>939</v>
      </c>
      <c r="G432" s="186" t="s">
        <v>409</v>
      </c>
      <c r="H432" s="187">
        <v>0</v>
      </c>
      <c r="I432" s="187">
        <v>29571</v>
      </c>
      <c r="J432" s="187">
        <v>39428</v>
      </c>
      <c r="K432" s="187">
        <v>39428</v>
      </c>
      <c r="L432" s="187">
        <v>39428</v>
      </c>
      <c r="M432" s="187">
        <v>39428</v>
      </c>
      <c r="N432" s="187">
        <v>39428</v>
      </c>
      <c r="O432" s="187">
        <f>758981-226711</f>
        <v>532270</v>
      </c>
      <c r="P432" s="188">
        <f>SUM(H432:O432)</f>
        <v>758981</v>
      </c>
    </row>
    <row r="433" spans="1:16" ht="15.75" customHeight="1" x14ac:dyDescent="0.25">
      <c r="A433" s="469"/>
      <c r="B433" s="470"/>
      <c r="C433" s="502"/>
      <c r="D433" s="503"/>
      <c r="E433" s="503"/>
      <c r="F433" s="165" t="s">
        <v>940</v>
      </c>
      <c r="G433" s="189" t="s">
        <v>410</v>
      </c>
      <c r="H433" s="190">
        <f>6985</f>
        <v>6985</v>
      </c>
      <c r="I433" s="190">
        <v>31739</v>
      </c>
      <c r="J433" s="190">
        <v>30133</v>
      </c>
      <c r="K433" s="190">
        <v>28302</v>
      </c>
      <c r="L433" s="190">
        <v>26465</v>
      </c>
      <c r="M433" s="190">
        <v>24693</v>
      </c>
      <c r="N433" s="190">
        <v>22790</v>
      </c>
      <c r="O433" s="190">
        <f>20954+109490</f>
        <v>130444</v>
      </c>
      <c r="P433" s="191">
        <f>SUM(H433:O433)</f>
        <v>301551</v>
      </c>
    </row>
    <row r="434" spans="1:16" ht="15.75" customHeight="1" x14ac:dyDescent="0.25">
      <c r="A434" s="469"/>
      <c r="B434" s="470"/>
      <c r="C434" s="502"/>
      <c r="D434" s="503"/>
      <c r="E434" s="503"/>
      <c r="F434" s="182"/>
      <c r="G434" s="192" t="s">
        <v>411</v>
      </c>
      <c r="H434" s="193">
        <f t="shared" ref="H434:P434" si="143">SUM(H432:H433)</f>
        <v>6985</v>
      </c>
      <c r="I434" s="193">
        <f t="shared" si="143"/>
        <v>61310</v>
      </c>
      <c r="J434" s="193">
        <f t="shared" si="143"/>
        <v>69561</v>
      </c>
      <c r="K434" s="193">
        <f t="shared" si="143"/>
        <v>67730</v>
      </c>
      <c r="L434" s="193">
        <f t="shared" si="143"/>
        <v>65893</v>
      </c>
      <c r="M434" s="193">
        <f t="shared" si="143"/>
        <v>64121</v>
      </c>
      <c r="N434" s="193">
        <f t="shared" si="143"/>
        <v>62218</v>
      </c>
      <c r="O434" s="193">
        <f t="shared" si="143"/>
        <v>662714</v>
      </c>
      <c r="P434" s="193">
        <f t="shared" si="143"/>
        <v>1060532</v>
      </c>
    </row>
    <row r="435" spans="1:16" ht="15.75" customHeight="1" x14ac:dyDescent="0.25">
      <c r="A435" s="469">
        <f>A432+1</f>
        <v>143</v>
      </c>
      <c r="B435" s="470" t="s">
        <v>405</v>
      </c>
      <c r="C435" s="504" t="s">
        <v>941</v>
      </c>
      <c r="D435" s="505" t="s">
        <v>942</v>
      </c>
      <c r="E435" s="505" t="s">
        <v>943</v>
      </c>
      <c r="F435" s="163" t="s">
        <v>944</v>
      </c>
      <c r="G435" s="186" t="s">
        <v>409</v>
      </c>
      <c r="H435" s="187">
        <v>0</v>
      </c>
      <c r="I435" s="187">
        <v>2481</v>
      </c>
      <c r="J435" s="187">
        <f>2481*4</f>
        <v>9924</v>
      </c>
      <c r="K435" s="187">
        <f>2481*4</f>
        <v>9924</v>
      </c>
      <c r="L435" s="187">
        <f>2481*4</f>
        <v>9924</v>
      </c>
      <c r="M435" s="187">
        <f>2481*4</f>
        <v>9924</v>
      </c>
      <c r="N435" s="187">
        <f>2481*4</f>
        <v>9924</v>
      </c>
      <c r="O435" s="187">
        <f>86833-52101</f>
        <v>34732</v>
      </c>
      <c r="P435" s="188">
        <f>SUM(H435:O435)</f>
        <v>86833</v>
      </c>
    </row>
    <row r="436" spans="1:16" ht="15.75" customHeight="1" x14ac:dyDescent="0.25">
      <c r="A436" s="469"/>
      <c r="B436" s="470"/>
      <c r="C436" s="504"/>
      <c r="D436" s="506"/>
      <c r="E436" s="506"/>
      <c r="F436" s="165" t="s">
        <v>945</v>
      </c>
      <c r="G436" s="189" t="s">
        <v>410</v>
      </c>
      <c r="H436" s="190">
        <v>91</v>
      </c>
      <c r="I436" s="190">
        <v>3213</v>
      </c>
      <c r="J436" s="190">
        <v>3133</v>
      </c>
      <c r="K436" s="190">
        <v>2776</v>
      </c>
      <c r="L436" s="190">
        <v>2398</v>
      </c>
      <c r="M436" s="190">
        <v>2021</v>
      </c>
      <c r="N436" s="190">
        <v>1642</v>
      </c>
      <c r="O436" s="190">
        <f>18237-15447</f>
        <v>2790</v>
      </c>
      <c r="P436" s="191">
        <f>SUM(H436:O436)</f>
        <v>18064</v>
      </c>
    </row>
    <row r="437" spans="1:16" ht="15.75" customHeight="1" x14ac:dyDescent="0.25">
      <c r="A437" s="469"/>
      <c r="B437" s="470"/>
      <c r="C437" s="504"/>
      <c r="D437" s="506"/>
      <c r="E437" s="506"/>
      <c r="F437" s="182"/>
      <c r="G437" s="192" t="s">
        <v>411</v>
      </c>
      <c r="H437" s="193">
        <f t="shared" ref="H437:P437" si="144">SUM(H435:H436)</f>
        <v>91</v>
      </c>
      <c r="I437" s="193">
        <f t="shared" si="144"/>
        <v>5694</v>
      </c>
      <c r="J437" s="193">
        <f t="shared" si="144"/>
        <v>13057</v>
      </c>
      <c r="K437" s="193">
        <f t="shared" si="144"/>
        <v>12700</v>
      </c>
      <c r="L437" s="193">
        <f t="shared" si="144"/>
        <v>12322</v>
      </c>
      <c r="M437" s="193">
        <f t="shared" si="144"/>
        <v>11945</v>
      </c>
      <c r="N437" s="193">
        <f t="shared" si="144"/>
        <v>11566</v>
      </c>
      <c r="O437" s="193">
        <f t="shared" si="144"/>
        <v>37522</v>
      </c>
      <c r="P437" s="193">
        <f t="shared" si="144"/>
        <v>104897</v>
      </c>
    </row>
    <row r="438" spans="1:16" ht="15.75" customHeight="1" x14ac:dyDescent="0.25">
      <c r="A438" s="469">
        <f>A435+1</f>
        <v>144</v>
      </c>
      <c r="B438" s="470" t="s">
        <v>405</v>
      </c>
      <c r="C438" s="504" t="s">
        <v>946</v>
      </c>
      <c r="D438" s="505" t="s">
        <v>942</v>
      </c>
      <c r="E438" s="505" t="s">
        <v>683</v>
      </c>
      <c r="F438" s="163" t="s">
        <v>947</v>
      </c>
      <c r="G438" s="186" t="s">
        <v>409</v>
      </c>
      <c r="H438" s="187">
        <v>0</v>
      </c>
      <c r="I438" s="187">
        <v>4164</v>
      </c>
      <c r="J438" s="187">
        <f>4164*4</f>
        <v>16656</v>
      </c>
      <c r="K438" s="187">
        <f>4164*4</f>
        <v>16656</v>
      </c>
      <c r="L438" s="187">
        <f>4164*4</f>
        <v>16656</v>
      </c>
      <c r="M438" s="187">
        <f>4164*4</f>
        <v>16656</v>
      </c>
      <c r="N438" s="187">
        <f>4164*4</f>
        <v>16656</v>
      </c>
      <c r="O438" s="187">
        <f>312230-87444</f>
        <v>224786</v>
      </c>
      <c r="P438" s="188">
        <f>SUM(H438:O438)</f>
        <v>312230</v>
      </c>
    </row>
    <row r="439" spans="1:16" ht="15.75" customHeight="1" x14ac:dyDescent="0.25">
      <c r="A439" s="469"/>
      <c r="B439" s="470"/>
      <c r="C439" s="504"/>
      <c r="D439" s="506"/>
      <c r="E439" s="506"/>
      <c r="F439" s="165" t="s">
        <v>948</v>
      </c>
      <c r="G439" s="189" t="s">
        <v>410</v>
      </c>
      <c r="H439" s="190">
        <v>1029</v>
      </c>
      <c r="I439" s="190">
        <v>11477</v>
      </c>
      <c r="J439" s="190">
        <v>11616</v>
      </c>
      <c r="K439" s="190">
        <v>11016</v>
      </c>
      <c r="L439" s="190">
        <v>10380</v>
      </c>
      <c r="M439" s="190">
        <v>9746</v>
      </c>
      <c r="N439" s="190">
        <v>9111</v>
      </c>
      <c r="O439" s="190">
        <f>124618-63758</f>
        <v>60860</v>
      </c>
      <c r="P439" s="191">
        <f>SUM(H439:O439)</f>
        <v>125235</v>
      </c>
    </row>
    <row r="440" spans="1:16" ht="15.75" customHeight="1" x14ac:dyDescent="0.25">
      <c r="A440" s="469"/>
      <c r="B440" s="470"/>
      <c r="C440" s="504"/>
      <c r="D440" s="506"/>
      <c r="E440" s="506"/>
      <c r="F440" s="182"/>
      <c r="G440" s="192" t="s">
        <v>411</v>
      </c>
      <c r="H440" s="193">
        <f t="shared" ref="H440:P440" si="145">SUM(H438:H439)</f>
        <v>1029</v>
      </c>
      <c r="I440" s="193">
        <f t="shared" si="145"/>
        <v>15641</v>
      </c>
      <c r="J440" s="193">
        <f t="shared" si="145"/>
        <v>28272</v>
      </c>
      <c r="K440" s="193">
        <f t="shared" si="145"/>
        <v>27672</v>
      </c>
      <c r="L440" s="193">
        <f t="shared" si="145"/>
        <v>27036</v>
      </c>
      <c r="M440" s="193">
        <f t="shared" si="145"/>
        <v>26402</v>
      </c>
      <c r="N440" s="193">
        <f t="shared" si="145"/>
        <v>25767</v>
      </c>
      <c r="O440" s="193">
        <f t="shared" si="145"/>
        <v>285646</v>
      </c>
      <c r="P440" s="193">
        <f t="shared" si="145"/>
        <v>437465</v>
      </c>
    </row>
    <row r="441" spans="1:16" ht="15.75" customHeight="1" x14ac:dyDescent="0.25">
      <c r="A441" s="506">
        <f>A438+1</f>
        <v>145</v>
      </c>
      <c r="B441" s="507" t="s">
        <v>405</v>
      </c>
      <c r="C441" s="508" t="s">
        <v>949</v>
      </c>
      <c r="D441" s="488" t="s">
        <v>950</v>
      </c>
      <c r="E441" s="488" t="s">
        <v>951</v>
      </c>
      <c r="F441" s="157"/>
      <c r="G441" s="186" t="s">
        <v>409</v>
      </c>
      <c r="H441" s="187">
        <v>0</v>
      </c>
      <c r="I441" s="187">
        <v>0</v>
      </c>
      <c r="J441" s="187">
        <v>26874</v>
      </c>
      <c r="K441" s="187">
        <v>26876</v>
      </c>
      <c r="L441" s="187">
        <v>26876</v>
      </c>
      <c r="M441" s="187">
        <v>26876</v>
      </c>
      <c r="N441" s="187">
        <v>26876</v>
      </c>
      <c r="O441" s="187">
        <f>228446</f>
        <v>228446</v>
      </c>
      <c r="P441" s="188">
        <f>SUM(H441:O441)</f>
        <v>362824</v>
      </c>
    </row>
    <row r="442" spans="1:16" ht="15.75" customHeight="1" x14ac:dyDescent="0.25">
      <c r="A442" s="506"/>
      <c r="B442" s="507"/>
      <c r="C442" s="508"/>
      <c r="D442" s="469"/>
      <c r="E442" s="469"/>
      <c r="F442" s="189" t="s">
        <v>952</v>
      </c>
      <c r="G442" s="189" t="s">
        <v>410</v>
      </c>
      <c r="H442" s="190">
        <v>0</v>
      </c>
      <c r="I442" s="190">
        <f>13011+412</f>
        <v>13423</v>
      </c>
      <c r="J442" s="190">
        <v>13216</v>
      </c>
      <c r="K442" s="190">
        <v>12277</v>
      </c>
      <c r="L442" s="190">
        <v>11282</v>
      </c>
      <c r="M442" s="190">
        <v>10288</v>
      </c>
      <c r="N442" s="190">
        <v>9293</v>
      </c>
      <c r="O442" s="190">
        <f>108663-69779</f>
        <v>38884</v>
      </c>
      <c r="P442" s="191">
        <f>SUM(H442:O442)</f>
        <v>108663</v>
      </c>
    </row>
    <row r="443" spans="1:16" ht="15.75" customHeight="1" x14ac:dyDescent="0.25">
      <c r="A443" s="506"/>
      <c r="B443" s="507"/>
      <c r="C443" s="508"/>
      <c r="D443" s="469"/>
      <c r="E443" s="469"/>
      <c r="F443" s="182"/>
      <c r="G443" s="192" t="s">
        <v>411</v>
      </c>
      <c r="H443" s="193">
        <f t="shared" ref="H443:P443" si="146">SUM(H441:H442)</f>
        <v>0</v>
      </c>
      <c r="I443" s="193">
        <f t="shared" si="146"/>
        <v>13423</v>
      </c>
      <c r="J443" s="193">
        <f t="shared" si="146"/>
        <v>40090</v>
      </c>
      <c r="K443" s="193">
        <f t="shared" si="146"/>
        <v>39153</v>
      </c>
      <c r="L443" s="193">
        <f t="shared" si="146"/>
        <v>38158</v>
      </c>
      <c r="M443" s="193">
        <f t="shared" si="146"/>
        <v>37164</v>
      </c>
      <c r="N443" s="193">
        <f t="shared" si="146"/>
        <v>36169</v>
      </c>
      <c r="O443" s="193">
        <f t="shared" si="146"/>
        <v>267330</v>
      </c>
      <c r="P443" s="193">
        <f t="shared" si="146"/>
        <v>471487</v>
      </c>
    </row>
    <row r="444" spans="1:16" ht="20.25" customHeight="1" x14ac:dyDescent="0.25">
      <c r="A444" s="506">
        <f>A441+1</f>
        <v>146</v>
      </c>
      <c r="B444" s="470" t="s">
        <v>405</v>
      </c>
      <c r="C444" s="509" t="s">
        <v>953</v>
      </c>
      <c r="D444" s="488" t="s">
        <v>954</v>
      </c>
      <c r="E444" s="488" t="s">
        <v>955</v>
      </c>
      <c r="F444" s="163" t="s">
        <v>956</v>
      </c>
      <c r="G444" s="186" t="s">
        <v>409</v>
      </c>
      <c r="H444" s="187">
        <v>0</v>
      </c>
      <c r="I444" s="187">
        <f>41704+41704</f>
        <v>83408</v>
      </c>
      <c r="J444" s="187">
        <f>41704*4</f>
        <v>166816</v>
      </c>
      <c r="K444" s="187">
        <f>41704*4</f>
        <v>166816</v>
      </c>
      <c r="L444" s="187">
        <f>41704*4</f>
        <v>166816</v>
      </c>
      <c r="M444" s="187">
        <f>41704*4</f>
        <v>166816</v>
      </c>
      <c r="N444" s="187">
        <f>41704*4</f>
        <v>166816</v>
      </c>
      <c r="O444" s="187">
        <f>2377102-917488</f>
        <v>1459614</v>
      </c>
      <c r="P444" s="188">
        <f>SUM(H444:O444)</f>
        <v>2377102</v>
      </c>
    </row>
    <row r="445" spans="1:16" ht="15.75" customHeight="1" x14ac:dyDescent="0.25">
      <c r="A445" s="506"/>
      <c r="B445" s="470"/>
      <c r="C445" s="509"/>
      <c r="D445" s="469"/>
      <c r="E445" s="469"/>
      <c r="F445" s="165" t="s">
        <v>957</v>
      </c>
      <c r="G445" s="189" t="s">
        <v>410</v>
      </c>
      <c r="H445" s="190">
        <f>1703+10839</f>
        <v>12542</v>
      </c>
      <c r="I445" s="190">
        <v>102387</v>
      </c>
      <c r="J445" s="190">
        <v>101318</v>
      </c>
      <c r="K445" s="190">
        <v>89448</v>
      </c>
      <c r="L445" s="190">
        <v>71567</v>
      </c>
      <c r="M445" s="190">
        <v>65394</v>
      </c>
      <c r="N445" s="190">
        <v>59221</v>
      </c>
      <c r="O445" s="190">
        <f>756853-501877</f>
        <v>254976</v>
      </c>
      <c r="P445" s="191">
        <f>SUM(H445:O445)</f>
        <v>756853</v>
      </c>
    </row>
    <row r="446" spans="1:16" ht="15.75" customHeight="1" x14ac:dyDescent="0.25">
      <c r="A446" s="506"/>
      <c r="B446" s="470"/>
      <c r="C446" s="509"/>
      <c r="D446" s="469"/>
      <c r="E446" s="469"/>
      <c r="F446" s="182"/>
      <c r="G446" s="192" t="s">
        <v>411</v>
      </c>
      <c r="H446" s="193">
        <f t="shared" ref="H446:P446" si="147">SUM(H444:H445)</f>
        <v>12542</v>
      </c>
      <c r="I446" s="193">
        <f t="shared" si="147"/>
        <v>185795</v>
      </c>
      <c r="J446" s="193">
        <f t="shared" si="147"/>
        <v>268134</v>
      </c>
      <c r="K446" s="193">
        <f t="shared" si="147"/>
        <v>256264</v>
      </c>
      <c r="L446" s="193">
        <f t="shared" si="147"/>
        <v>238383</v>
      </c>
      <c r="M446" s="193">
        <f t="shared" si="147"/>
        <v>232210</v>
      </c>
      <c r="N446" s="193">
        <f t="shared" si="147"/>
        <v>226037</v>
      </c>
      <c r="O446" s="193">
        <f t="shared" si="147"/>
        <v>1714590</v>
      </c>
      <c r="P446" s="193">
        <f t="shared" si="147"/>
        <v>3133955</v>
      </c>
    </row>
    <row r="447" spans="1:16" ht="14.25" customHeight="1" x14ac:dyDescent="0.25">
      <c r="A447" s="506">
        <f>A444+1</f>
        <v>147</v>
      </c>
      <c r="B447" s="507" t="s">
        <v>405</v>
      </c>
      <c r="C447" s="500" t="s">
        <v>958</v>
      </c>
      <c r="D447" s="488" t="s">
        <v>950</v>
      </c>
      <c r="E447" s="488" t="s">
        <v>959</v>
      </c>
      <c r="F447" s="157"/>
      <c r="G447" s="186" t="s">
        <v>409</v>
      </c>
      <c r="H447" s="187">
        <v>0</v>
      </c>
      <c r="I447" s="187">
        <v>0</v>
      </c>
      <c r="J447" s="187">
        <v>57064</v>
      </c>
      <c r="K447" s="187">
        <v>114128</v>
      </c>
      <c r="L447" s="187">
        <v>114128</v>
      </c>
      <c r="M447" s="187">
        <v>114128</v>
      </c>
      <c r="N447" s="187">
        <v>114128</v>
      </c>
      <c r="O447" s="187">
        <f>2767549-513576</f>
        <v>2253973</v>
      </c>
      <c r="P447" s="188">
        <f>SUM(H447:O447)</f>
        <v>2767549</v>
      </c>
    </row>
    <row r="448" spans="1:16" ht="14.25" customHeight="1" x14ac:dyDescent="0.25">
      <c r="A448" s="506"/>
      <c r="B448" s="507"/>
      <c r="C448" s="500"/>
      <c r="D448" s="469"/>
      <c r="E448" s="469"/>
      <c r="F448" s="189" t="s">
        <v>952</v>
      </c>
      <c r="G448" s="189" t="s">
        <v>410</v>
      </c>
      <c r="H448" s="190">
        <v>1630</v>
      </c>
      <c r="I448" s="190">
        <v>127678</v>
      </c>
      <c r="J448" s="190">
        <v>142584</v>
      </c>
      <c r="K448" s="190">
        <v>116038</v>
      </c>
      <c r="L448" s="190">
        <v>106662</v>
      </c>
      <c r="M448" s="190">
        <v>101941</v>
      </c>
      <c r="N448" s="190">
        <v>97220</v>
      </c>
      <c r="O448" s="190">
        <f>1646724-693753</f>
        <v>952971</v>
      </c>
      <c r="P448" s="191">
        <f>SUM(H448:O448)</f>
        <v>1646724</v>
      </c>
    </row>
    <row r="449" spans="1:16" ht="14.25" customHeight="1" x14ac:dyDescent="0.25">
      <c r="A449" s="506"/>
      <c r="B449" s="507"/>
      <c r="C449" s="500"/>
      <c r="D449" s="469"/>
      <c r="E449" s="469"/>
      <c r="F449" s="182"/>
      <c r="G449" s="192" t="s">
        <v>411</v>
      </c>
      <c r="H449" s="193">
        <f t="shared" ref="H449:P449" si="148">SUM(H447:H448)</f>
        <v>1630</v>
      </c>
      <c r="I449" s="193">
        <f t="shared" si="148"/>
        <v>127678</v>
      </c>
      <c r="J449" s="193">
        <f t="shared" si="148"/>
        <v>199648</v>
      </c>
      <c r="K449" s="193">
        <f t="shared" si="148"/>
        <v>230166</v>
      </c>
      <c r="L449" s="193">
        <f t="shared" si="148"/>
        <v>220790</v>
      </c>
      <c r="M449" s="193">
        <f t="shared" si="148"/>
        <v>216069</v>
      </c>
      <c r="N449" s="193">
        <f t="shared" si="148"/>
        <v>211348</v>
      </c>
      <c r="O449" s="193">
        <f t="shared" si="148"/>
        <v>3206944</v>
      </c>
      <c r="P449" s="193">
        <f t="shared" si="148"/>
        <v>4414273</v>
      </c>
    </row>
    <row r="450" spans="1:16" ht="14.25" customHeight="1" x14ac:dyDescent="0.25">
      <c r="A450" s="506">
        <f>A447+1</f>
        <v>148</v>
      </c>
      <c r="B450" s="510" t="s">
        <v>405</v>
      </c>
      <c r="C450" s="481" t="s">
        <v>960</v>
      </c>
      <c r="D450" s="488" t="s">
        <v>961</v>
      </c>
      <c r="E450" s="488" t="s">
        <v>962</v>
      </c>
      <c r="F450" s="157"/>
      <c r="G450" s="186" t="s">
        <v>409</v>
      </c>
      <c r="H450" s="187">
        <v>0</v>
      </c>
      <c r="I450" s="187">
        <v>0</v>
      </c>
      <c r="J450" s="187">
        <v>50683</v>
      </c>
      <c r="K450" s="187">
        <v>50700</v>
      </c>
      <c r="L450" s="187">
        <v>50700</v>
      </c>
      <c r="M450" s="187">
        <v>50700</v>
      </c>
      <c r="N450" s="187">
        <v>50700</v>
      </c>
      <c r="O450" s="187">
        <f>684433-253483</f>
        <v>430950</v>
      </c>
      <c r="P450" s="188">
        <f>SUM(H450:O450)</f>
        <v>684433</v>
      </c>
    </row>
    <row r="451" spans="1:16" ht="14.25" customHeight="1" x14ac:dyDescent="0.25">
      <c r="A451" s="506"/>
      <c r="B451" s="510"/>
      <c r="C451" s="471"/>
      <c r="D451" s="469"/>
      <c r="E451" s="469"/>
      <c r="F451" s="189" t="s">
        <v>952</v>
      </c>
      <c r="G451" s="189" t="s">
        <v>410</v>
      </c>
      <c r="H451" s="190">
        <f>1704-1648</f>
        <v>56</v>
      </c>
      <c r="I451" s="190">
        <v>25063</v>
      </c>
      <c r="J451" s="190">
        <v>24932</v>
      </c>
      <c r="K451" s="190">
        <v>23159</v>
      </c>
      <c r="L451" s="190">
        <v>21283</v>
      </c>
      <c r="M451" s="190">
        <v>19406</v>
      </c>
      <c r="N451" s="190">
        <v>17530</v>
      </c>
      <c r="O451" s="190">
        <f>206431-133077</f>
        <v>73354</v>
      </c>
      <c r="P451" s="191">
        <f>SUM(H451:O451)</f>
        <v>204783</v>
      </c>
    </row>
    <row r="452" spans="1:16" ht="14.25" customHeight="1" x14ac:dyDescent="0.25">
      <c r="A452" s="506"/>
      <c r="B452" s="510"/>
      <c r="C452" s="471"/>
      <c r="D452" s="469"/>
      <c r="E452" s="469"/>
      <c r="F452" s="182"/>
      <c r="G452" s="161" t="s">
        <v>411</v>
      </c>
      <c r="H452" s="193">
        <f t="shared" ref="H452:P452" si="149">SUM(H450:H451)</f>
        <v>56</v>
      </c>
      <c r="I452" s="193">
        <f t="shared" si="149"/>
        <v>25063</v>
      </c>
      <c r="J452" s="193">
        <f t="shared" si="149"/>
        <v>75615</v>
      </c>
      <c r="K452" s="193">
        <f t="shared" si="149"/>
        <v>73859</v>
      </c>
      <c r="L452" s="193">
        <f t="shared" si="149"/>
        <v>71983</v>
      </c>
      <c r="M452" s="193">
        <f t="shared" si="149"/>
        <v>70106</v>
      </c>
      <c r="N452" s="193">
        <f t="shared" si="149"/>
        <v>68230</v>
      </c>
      <c r="O452" s="193">
        <f t="shared" si="149"/>
        <v>504304</v>
      </c>
      <c r="P452" s="193">
        <f t="shared" si="149"/>
        <v>889216</v>
      </c>
    </row>
    <row r="453" spans="1:16" ht="14.25" customHeight="1" x14ac:dyDescent="0.25">
      <c r="A453" s="506">
        <f>A450+1</f>
        <v>149</v>
      </c>
      <c r="B453" s="511" t="s">
        <v>405</v>
      </c>
      <c r="C453" s="481" t="s">
        <v>963</v>
      </c>
      <c r="D453" s="488" t="s">
        <v>964</v>
      </c>
      <c r="E453" s="488" t="s">
        <v>965</v>
      </c>
      <c r="F453" s="157" t="s">
        <v>966</v>
      </c>
      <c r="G453" s="186" t="s">
        <v>409</v>
      </c>
      <c r="H453" s="187">
        <v>0</v>
      </c>
      <c r="I453" s="187">
        <v>3482</v>
      </c>
      <c r="J453" s="187">
        <v>13928</v>
      </c>
      <c r="K453" s="187">
        <v>13928</v>
      </c>
      <c r="L453" s="187">
        <v>13928</v>
      </c>
      <c r="M453" s="187">
        <v>13928</v>
      </c>
      <c r="N453" s="187">
        <v>13928</v>
      </c>
      <c r="O453" s="187">
        <f>308507-73122</f>
        <v>235385</v>
      </c>
      <c r="P453" s="188">
        <f>SUM(H453:O453)</f>
        <v>308507</v>
      </c>
    </row>
    <row r="454" spans="1:16" ht="14.25" customHeight="1" x14ac:dyDescent="0.25">
      <c r="A454" s="506"/>
      <c r="B454" s="511"/>
      <c r="C454" s="471"/>
      <c r="D454" s="469"/>
      <c r="E454" s="469"/>
      <c r="F454" s="159" t="s">
        <v>967</v>
      </c>
      <c r="G454" s="189" t="s">
        <v>410</v>
      </c>
      <c r="H454" s="190">
        <v>949</v>
      </c>
      <c r="I454" s="190">
        <v>12609</v>
      </c>
      <c r="J454" s="190">
        <v>14840</v>
      </c>
      <c r="K454" s="190">
        <v>12290</v>
      </c>
      <c r="L454" s="190">
        <v>11333</v>
      </c>
      <c r="M454" s="190">
        <v>10759</v>
      </c>
      <c r="N454" s="190">
        <v>10185</v>
      </c>
      <c r="O454" s="190">
        <f>164423-72965</f>
        <v>91458</v>
      </c>
      <c r="P454" s="191">
        <f>SUM(H454:O454)</f>
        <v>164423</v>
      </c>
    </row>
    <row r="455" spans="1:16" ht="14.25" customHeight="1" x14ac:dyDescent="0.25">
      <c r="A455" s="506"/>
      <c r="B455" s="511"/>
      <c r="C455" s="471"/>
      <c r="D455" s="469"/>
      <c r="E455" s="469"/>
      <c r="F455" s="182"/>
      <c r="G455" s="161" t="s">
        <v>411</v>
      </c>
      <c r="H455" s="193">
        <f t="shared" ref="H455:P455" si="150">SUM(H453:H454)</f>
        <v>949</v>
      </c>
      <c r="I455" s="193">
        <f t="shared" si="150"/>
        <v>16091</v>
      </c>
      <c r="J455" s="193">
        <f t="shared" si="150"/>
        <v>28768</v>
      </c>
      <c r="K455" s="193">
        <f t="shared" si="150"/>
        <v>26218</v>
      </c>
      <c r="L455" s="193">
        <f t="shared" si="150"/>
        <v>25261</v>
      </c>
      <c r="M455" s="193">
        <f t="shared" si="150"/>
        <v>24687</v>
      </c>
      <c r="N455" s="193">
        <f t="shared" si="150"/>
        <v>24113</v>
      </c>
      <c r="O455" s="193">
        <f t="shared" si="150"/>
        <v>326843</v>
      </c>
      <c r="P455" s="193">
        <f t="shared" si="150"/>
        <v>472930</v>
      </c>
    </row>
    <row r="456" spans="1:16" ht="17.25" customHeight="1" x14ac:dyDescent="0.25">
      <c r="A456" s="506">
        <f>A453+1</f>
        <v>150</v>
      </c>
      <c r="B456" s="470" t="s">
        <v>405</v>
      </c>
      <c r="C456" s="498" t="s">
        <v>968</v>
      </c>
      <c r="D456" s="488" t="s">
        <v>969</v>
      </c>
      <c r="E456" s="488" t="s">
        <v>690</v>
      </c>
      <c r="F456" s="157" t="s">
        <v>970</v>
      </c>
      <c r="G456" s="186" t="s">
        <v>409</v>
      </c>
      <c r="H456" s="187">
        <v>0</v>
      </c>
      <c r="I456" s="187">
        <v>17806</v>
      </c>
      <c r="J456" s="187">
        <v>35612</v>
      </c>
      <c r="K456" s="187">
        <v>35612</v>
      </c>
      <c r="L456" s="187">
        <v>35612</v>
      </c>
      <c r="M456" s="187">
        <v>35612</v>
      </c>
      <c r="N456" s="187">
        <v>35612</v>
      </c>
      <c r="O456" s="187">
        <f>498544-195866</f>
        <v>302678</v>
      </c>
      <c r="P456" s="188">
        <f>SUM(H456:O456)</f>
        <v>498544</v>
      </c>
    </row>
    <row r="457" spans="1:16" ht="15.75" customHeight="1" x14ac:dyDescent="0.25">
      <c r="A457" s="506"/>
      <c r="B457" s="470"/>
      <c r="C457" s="512"/>
      <c r="D457" s="469"/>
      <c r="E457" s="469"/>
      <c r="F457" s="159" t="s">
        <v>971</v>
      </c>
      <c r="G457" s="189" t="s">
        <v>410</v>
      </c>
      <c r="H457" s="190">
        <f>3973-1847</f>
        <v>2126</v>
      </c>
      <c r="I457" s="190">
        <v>21115</v>
      </c>
      <c r="J457" s="190">
        <v>19566</v>
      </c>
      <c r="K457" s="190">
        <v>10633</v>
      </c>
      <c r="L457" s="190">
        <v>9772</v>
      </c>
      <c r="M457" s="190">
        <v>8910</v>
      </c>
      <c r="N457" s="190">
        <v>8048</v>
      </c>
      <c r="O457" s="190">
        <f>116404-82702</f>
        <v>33702</v>
      </c>
      <c r="P457" s="191">
        <f>SUM(H457:O457)</f>
        <v>113872</v>
      </c>
    </row>
    <row r="458" spans="1:16" ht="16.5" customHeight="1" x14ac:dyDescent="0.25">
      <c r="A458" s="506"/>
      <c r="B458" s="470"/>
      <c r="C458" s="512"/>
      <c r="D458" s="469"/>
      <c r="E458" s="469"/>
      <c r="F458" s="182"/>
      <c r="G458" s="161" t="s">
        <v>411</v>
      </c>
      <c r="H458" s="193">
        <f t="shared" ref="H458:P458" si="151">SUM(H456:H457)</f>
        <v>2126</v>
      </c>
      <c r="I458" s="193">
        <f t="shared" si="151"/>
        <v>38921</v>
      </c>
      <c r="J458" s="193">
        <f t="shared" si="151"/>
        <v>55178</v>
      </c>
      <c r="K458" s="193">
        <f t="shared" si="151"/>
        <v>46245</v>
      </c>
      <c r="L458" s="193">
        <f t="shared" si="151"/>
        <v>45384</v>
      </c>
      <c r="M458" s="193">
        <f t="shared" si="151"/>
        <v>44522</v>
      </c>
      <c r="N458" s="193">
        <f t="shared" si="151"/>
        <v>43660</v>
      </c>
      <c r="O458" s="193">
        <f t="shared" si="151"/>
        <v>336380</v>
      </c>
      <c r="P458" s="193">
        <f t="shared" si="151"/>
        <v>612416</v>
      </c>
    </row>
    <row r="459" spans="1:16" ht="17.25" customHeight="1" x14ac:dyDescent="0.25">
      <c r="A459" s="506">
        <f>A456+1</f>
        <v>151</v>
      </c>
      <c r="B459" s="510" t="s">
        <v>405</v>
      </c>
      <c r="C459" s="498" t="s">
        <v>972</v>
      </c>
      <c r="D459" s="488" t="s">
        <v>973</v>
      </c>
      <c r="E459" s="488" t="s">
        <v>974</v>
      </c>
      <c r="F459" s="157" t="s">
        <v>975</v>
      </c>
      <c r="G459" s="186" t="s">
        <v>409</v>
      </c>
      <c r="H459" s="187">
        <v>0</v>
      </c>
      <c r="I459" s="187">
        <v>0</v>
      </c>
      <c r="J459" s="187">
        <v>26012</v>
      </c>
      <c r="K459" s="187">
        <v>26012</v>
      </c>
      <c r="L459" s="187">
        <v>26012</v>
      </c>
      <c r="M459" s="187">
        <v>26012</v>
      </c>
      <c r="N459" s="187">
        <v>26012</v>
      </c>
      <c r="O459" s="187">
        <f>357622-130060</f>
        <v>227562</v>
      </c>
      <c r="P459" s="188">
        <f>SUM(H459:O459)</f>
        <v>357622</v>
      </c>
    </row>
    <row r="460" spans="1:16" ht="17.25" customHeight="1" x14ac:dyDescent="0.25">
      <c r="A460" s="506"/>
      <c r="B460" s="510"/>
      <c r="C460" s="512"/>
      <c r="D460" s="469"/>
      <c r="E460" s="469"/>
      <c r="F460" s="159" t="s">
        <v>976</v>
      </c>
      <c r="G460" s="189" t="s">
        <v>410</v>
      </c>
      <c r="H460" s="190">
        <f>717+752</f>
        <v>1469</v>
      </c>
      <c r="I460" s="190">
        <v>14107</v>
      </c>
      <c r="J460" s="190">
        <v>14361</v>
      </c>
      <c r="K460" s="190">
        <v>12120</v>
      </c>
      <c r="L460" s="190">
        <v>11158</v>
      </c>
      <c r="M460" s="190">
        <v>10196</v>
      </c>
      <c r="N460" s="190">
        <v>9233</v>
      </c>
      <c r="O460" s="190">
        <f>112413-72644</f>
        <v>39769</v>
      </c>
      <c r="P460" s="191">
        <f>SUM(H460:O460)</f>
        <v>112413</v>
      </c>
    </row>
    <row r="461" spans="1:16" ht="17.25" customHeight="1" x14ac:dyDescent="0.25">
      <c r="A461" s="506"/>
      <c r="B461" s="510"/>
      <c r="C461" s="512"/>
      <c r="D461" s="469"/>
      <c r="E461" s="469"/>
      <c r="F461" s="182"/>
      <c r="G461" s="161" t="s">
        <v>411</v>
      </c>
      <c r="H461" s="193">
        <f t="shared" ref="H461:P461" si="152">SUM(H459:H460)</f>
        <v>1469</v>
      </c>
      <c r="I461" s="193">
        <f t="shared" si="152"/>
        <v>14107</v>
      </c>
      <c r="J461" s="193">
        <f t="shared" si="152"/>
        <v>40373</v>
      </c>
      <c r="K461" s="193">
        <f t="shared" si="152"/>
        <v>38132</v>
      </c>
      <c r="L461" s="193">
        <f t="shared" si="152"/>
        <v>37170</v>
      </c>
      <c r="M461" s="193">
        <f t="shared" si="152"/>
        <v>36208</v>
      </c>
      <c r="N461" s="193">
        <f t="shared" si="152"/>
        <v>35245</v>
      </c>
      <c r="O461" s="193">
        <f t="shared" si="152"/>
        <v>267331</v>
      </c>
      <c r="P461" s="193">
        <f t="shared" si="152"/>
        <v>470035</v>
      </c>
    </row>
    <row r="462" spans="1:16" ht="14.25" customHeight="1" x14ac:dyDescent="0.25">
      <c r="A462" s="506">
        <f>A459+1</f>
        <v>152</v>
      </c>
      <c r="B462" s="510" t="s">
        <v>405</v>
      </c>
      <c r="C462" s="498" t="s">
        <v>977</v>
      </c>
      <c r="D462" s="488" t="s">
        <v>973</v>
      </c>
      <c r="E462" s="488" t="s">
        <v>978</v>
      </c>
      <c r="F462" s="157" t="s">
        <v>979</v>
      </c>
      <c r="G462" s="186" t="s">
        <v>409</v>
      </c>
      <c r="H462" s="187">
        <v>0</v>
      </c>
      <c r="I462" s="187">
        <v>6092</v>
      </c>
      <c r="J462" s="187">
        <v>12184</v>
      </c>
      <c r="K462" s="187">
        <v>12184</v>
      </c>
      <c r="L462" s="187">
        <v>12184</v>
      </c>
      <c r="M462" s="187">
        <v>12184</v>
      </c>
      <c r="N462" s="187">
        <v>12184</v>
      </c>
      <c r="O462" s="187">
        <f>112667-67012</f>
        <v>45655</v>
      </c>
      <c r="P462" s="188">
        <f>SUM(H462:O462)</f>
        <v>112667</v>
      </c>
    </row>
    <row r="463" spans="1:16" ht="14.25" customHeight="1" x14ac:dyDescent="0.25">
      <c r="A463" s="506"/>
      <c r="B463" s="510"/>
      <c r="C463" s="512"/>
      <c r="D463" s="469"/>
      <c r="E463" s="469"/>
      <c r="F463" s="159" t="s">
        <v>980</v>
      </c>
      <c r="G463" s="189" t="s">
        <v>410</v>
      </c>
      <c r="H463" s="190">
        <f>291+155-44</f>
        <v>402</v>
      </c>
      <c r="I463" s="190">
        <v>4806</v>
      </c>
      <c r="J463" s="190">
        <v>4343</v>
      </c>
      <c r="K463" s="190">
        <v>3422</v>
      </c>
      <c r="L463" s="190">
        <v>2972</v>
      </c>
      <c r="M463" s="190">
        <v>2521</v>
      </c>
      <c r="N463" s="190">
        <v>2070</v>
      </c>
      <c r="O463" s="190">
        <f>24300-20536</f>
        <v>3764</v>
      </c>
      <c r="P463" s="191">
        <f>SUM(H463:O463)</f>
        <v>24300</v>
      </c>
    </row>
    <row r="464" spans="1:16" ht="14.25" customHeight="1" x14ac:dyDescent="0.25">
      <c r="A464" s="506"/>
      <c r="B464" s="510"/>
      <c r="C464" s="512"/>
      <c r="D464" s="469"/>
      <c r="E464" s="469"/>
      <c r="F464" s="182"/>
      <c r="G464" s="161" t="s">
        <v>411</v>
      </c>
      <c r="H464" s="193">
        <f t="shared" ref="H464:P464" si="153">SUM(H462:H463)</f>
        <v>402</v>
      </c>
      <c r="I464" s="193">
        <f t="shared" si="153"/>
        <v>10898</v>
      </c>
      <c r="J464" s="193">
        <f t="shared" si="153"/>
        <v>16527</v>
      </c>
      <c r="K464" s="193">
        <f t="shared" si="153"/>
        <v>15606</v>
      </c>
      <c r="L464" s="193">
        <f t="shared" si="153"/>
        <v>15156</v>
      </c>
      <c r="M464" s="193">
        <f t="shared" si="153"/>
        <v>14705</v>
      </c>
      <c r="N464" s="193">
        <f t="shared" si="153"/>
        <v>14254</v>
      </c>
      <c r="O464" s="193">
        <f t="shared" si="153"/>
        <v>49419</v>
      </c>
      <c r="P464" s="193">
        <f t="shared" si="153"/>
        <v>136967</v>
      </c>
    </row>
    <row r="465" spans="1:16" ht="14.25" customHeight="1" x14ac:dyDescent="0.25">
      <c r="A465" s="506">
        <f>A462+1</f>
        <v>153</v>
      </c>
      <c r="B465" s="510" t="s">
        <v>405</v>
      </c>
      <c r="C465" s="498" t="s">
        <v>981</v>
      </c>
      <c r="D465" s="488" t="s">
        <v>973</v>
      </c>
      <c r="E465" s="488" t="s">
        <v>978</v>
      </c>
      <c r="F465" s="157" t="s">
        <v>982</v>
      </c>
      <c r="G465" s="186" t="s">
        <v>409</v>
      </c>
      <c r="H465" s="187">
        <v>0</v>
      </c>
      <c r="I465" s="187">
        <v>11266</v>
      </c>
      <c r="J465" s="187">
        <v>22532</v>
      </c>
      <c r="K465" s="187">
        <v>22532</v>
      </c>
      <c r="L465" s="187">
        <v>22532</v>
      </c>
      <c r="M465" s="187">
        <v>22532</v>
      </c>
      <c r="N465" s="187">
        <v>22532</v>
      </c>
      <c r="O465" s="187">
        <f>208393-123926</f>
        <v>84467</v>
      </c>
      <c r="P465" s="188">
        <f>SUM(H465:O465)</f>
        <v>208393</v>
      </c>
    </row>
    <row r="466" spans="1:16" ht="14.25" customHeight="1" x14ac:dyDescent="0.25">
      <c r="A466" s="506"/>
      <c r="B466" s="510"/>
      <c r="C466" s="512"/>
      <c r="D466" s="469"/>
      <c r="E466" s="469"/>
      <c r="F466" s="159" t="s">
        <v>983</v>
      </c>
      <c r="G466" s="189" t="s">
        <v>410</v>
      </c>
      <c r="H466" s="190">
        <f>678-52-48</f>
        <v>578</v>
      </c>
      <c r="I466" s="190">
        <v>8744</v>
      </c>
      <c r="J466" s="190">
        <v>8034</v>
      </c>
      <c r="K466" s="190">
        <v>6331</v>
      </c>
      <c r="L466" s="190">
        <v>5496</v>
      </c>
      <c r="M466" s="190">
        <v>4663</v>
      </c>
      <c r="N466" s="190">
        <v>3829</v>
      </c>
      <c r="O466" s="190">
        <f>44651-37675</f>
        <v>6976</v>
      </c>
      <c r="P466" s="191">
        <f>SUM(H466:O466)</f>
        <v>44651</v>
      </c>
    </row>
    <row r="467" spans="1:16" ht="14.25" customHeight="1" x14ac:dyDescent="0.25">
      <c r="A467" s="506"/>
      <c r="B467" s="510"/>
      <c r="C467" s="512"/>
      <c r="D467" s="469"/>
      <c r="E467" s="469"/>
      <c r="F467" s="182"/>
      <c r="G467" s="161" t="s">
        <v>411</v>
      </c>
      <c r="H467" s="193">
        <f t="shared" ref="H467:P467" si="154">SUM(H465:H466)</f>
        <v>578</v>
      </c>
      <c r="I467" s="193">
        <f t="shared" si="154"/>
        <v>20010</v>
      </c>
      <c r="J467" s="193">
        <f t="shared" si="154"/>
        <v>30566</v>
      </c>
      <c r="K467" s="193">
        <f t="shared" si="154"/>
        <v>28863</v>
      </c>
      <c r="L467" s="193">
        <f t="shared" si="154"/>
        <v>28028</v>
      </c>
      <c r="M467" s="193">
        <f t="shared" si="154"/>
        <v>27195</v>
      </c>
      <c r="N467" s="193">
        <f t="shared" si="154"/>
        <v>26361</v>
      </c>
      <c r="O467" s="193">
        <f t="shared" si="154"/>
        <v>91443</v>
      </c>
      <c r="P467" s="193">
        <f t="shared" si="154"/>
        <v>253044</v>
      </c>
    </row>
    <row r="468" spans="1:16" ht="14.25" customHeight="1" x14ac:dyDescent="0.25">
      <c r="A468" s="506">
        <f>A465+1</f>
        <v>154</v>
      </c>
      <c r="B468" s="470" t="s">
        <v>405</v>
      </c>
      <c r="C468" s="498" t="s">
        <v>984</v>
      </c>
      <c r="D468" s="488" t="s">
        <v>985</v>
      </c>
      <c r="E468" s="488" t="s">
        <v>986</v>
      </c>
      <c r="F468" s="157" t="s">
        <v>987</v>
      </c>
      <c r="G468" s="186" t="s">
        <v>409</v>
      </c>
      <c r="H468" s="187">
        <v>0</v>
      </c>
      <c r="I468" s="187">
        <f>4327*2</f>
        <v>8654</v>
      </c>
      <c r="J468" s="187">
        <f>4327*4</f>
        <v>17308</v>
      </c>
      <c r="K468" s="187">
        <f>4327*4</f>
        <v>17308</v>
      </c>
      <c r="L468" s="187">
        <f>4327*4</f>
        <v>17308</v>
      </c>
      <c r="M468" s="187">
        <f>4327*4</f>
        <v>17308</v>
      </c>
      <c r="N468" s="187">
        <f>4327*4</f>
        <v>17308</v>
      </c>
      <c r="O468" s="187">
        <f>155761-95194</f>
        <v>60567</v>
      </c>
      <c r="P468" s="188">
        <f>SUM(H468:O468)</f>
        <v>155761</v>
      </c>
    </row>
    <row r="469" spans="1:16" ht="14.25" customHeight="1" x14ac:dyDescent="0.25">
      <c r="A469" s="506"/>
      <c r="B469" s="470"/>
      <c r="C469" s="512"/>
      <c r="D469" s="469"/>
      <c r="E469" s="469"/>
      <c r="F469" s="159" t="s">
        <v>988</v>
      </c>
      <c r="G469" s="189" t="s">
        <v>410</v>
      </c>
      <c r="H469" s="190">
        <v>554</v>
      </c>
      <c r="I469" s="190">
        <v>8541</v>
      </c>
      <c r="J469" s="190">
        <v>7721</v>
      </c>
      <c r="K469" s="190">
        <v>7171</v>
      </c>
      <c r="L469" s="190">
        <v>6590</v>
      </c>
      <c r="M469" s="190">
        <v>6009</v>
      </c>
      <c r="N469" s="190">
        <v>5428</v>
      </c>
      <c r="O469" s="190">
        <f>64147-41430</f>
        <v>22717</v>
      </c>
      <c r="P469" s="191">
        <f>SUM(H469:O469)</f>
        <v>64731</v>
      </c>
    </row>
    <row r="470" spans="1:16" ht="14.25" customHeight="1" x14ac:dyDescent="0.25">
      <c r="A470" s="506"/>
      <c r="B470" s="470"/>
      <c r="C470" s="512"/>
      <c r="D470" s="469"/>
      <c r="E470" s="469"/>
      <c r="F470" s="182"/>
      <c r="G470" s="161" t="s">
        <v>411</v>
      </c>
      <c r="H470" s="193">
        <f t="shared" ref="H470:P470" si="155">SUM(H468:H469)</f>
        <v>554</v>
      </c>
      <c r="I470" s="193">
        <f t="shared" si="155"/>
        <v>17195</v>
      </c>
      <c r="J470" s="193">
        <f t="shared" si="155"/>
        <v>25029</v>
      </c>
      <c r="K470" s="193">
        <f t="shared" si="155"/>
        <v>24479</v>
      </c>
      <c r="L470" s="193">
        <f t="shared" si="155"/>
        <v>23898</v>
      </c>
      <c r="M470" s="193">
        <f t="shared" si="155"/>
        <v>23317</v>
      </c>
      <c r="N470" s="193">
        <f t="shared" si="155"/>
        <v>22736</v>
      </c>
      <c r="O470" s="193">
        <f t="shared" si="155"/>
        <v>83284</v>
      </c>
      <c r="P470" s="193">
        <f t="shared" si="155"/>
        <v>220492</v>
      </c>
    </row>
    <row r="471" spans="1:16" ht="15.75" customHeight="1" x14ac:dyDescent="0.25">
      <c r="A471" s="506">
        <f>A468+1</f>
        <v>155</v>
      </c>
      <c r="B471" s="470" t="s">
        <v>405</v>
      </c>
      <c r="C471" s="513" t="s">
        <v>989</v>
      </c>
      <c r="D471" s="488" t="s">
        <v>985</v>
      </c>
      <c r="E471" s="488" t="s">
        <v>986</v>
      </c>
      <c r="F471" s="157" t="s">
        <v>990</v>
      </c>
      <c r="G471" s="186" t="s">
        <v>409</v>
      </c>
      <c r="H471" s="187">
        <v>0</v>
      </c>
      <c r="I471" s="187">
        <f>5372*2</f>
        <v>10744</v>
      </c>
      <c r="J471" s="187">
        <f>5372*4</f>
        <v>21488</v>
      </c>
      <c r="K471" s="187">
        <f>5372*4</f>
        <v>21488</v>
      </c>
      <c r="L471" s="187">
        <f>5372*4</f>
        <v>21488</v>
      </c>
      <c r="M471" s="187">
        <f>5372*4</f>
        <v>21488</v>
      </c>
      <c r="N471" s="187">
        <f>5372*4</f>
        <v>21488</v>
      </c>
      <c r="O471" s="187">
        <f>300779-118184</f>
        <v>182595</v>
      </c>
      <c r="P471" s="188">
        <f>SUM(H471:O471)</f>
        <v>300779</v>
      </c>
    </row>
    <row r="472" spans="1:16" ht="14.25" customHeight="1" x14ac:dyDescent="0.25">
      <c r="A472" s="506"/>
      <c r="B472" s="470"/>
      <c r="C472" s="513"/>
      <c r="D472" s="469"/>
      <c r="E472" s="469"/>
      <c r="F472" s="159" t="s">
        <v>991</v>
      </c>
      <c r="G472" s="189" t="s">
        <v>410</v>
      </c>
      <c r="H472" s="190">
        <v>581</v>
      </c>
      <c r="I472" s="190">
        <v>12393</v>
      </c>
      <c r="J472" s="190">
        <v>12116</v>
      </c>
      <c r="K472" s="190">
        <v>11410</v>
      </c>
      <c r="L472" s="190">
        <v>10486</v>
      </c>
      <c r="M472" s="190">
        <v>9562</v>
      </c>
      <c r="N472" s="190">
        <v>8637</v>
      </c>
      <c r="O472" s="190">
        <f>101057-64915</f>
        <v>36142</v>
      </c>
      <c r="P472" s="191">
        <f>SUM(H472:O472)</f>
        <v>101327</v>
      </c>
    </row>
    <row r="473" spans="1:16" ht="15.75" customHeight="1" x14ac:dyDescent="0.25">
      <c r="A473" s="506"/>
      <c r="B473" s="470"/>
      <c r="C473" s="513"/>
      <c r="D473" s="469"/>
      <c r="E473" s="469"/>
      <c r="F473" s="182"/>
      <c r="G473" s="161" t="s">
        <v>411</v>
      </c>
      <c r="H473" s="193">
        <f t="shared" ref="H473:P473" si="156">SUM(H471:H472)</f>
        <v>581</v>
      </c>
      <c r="I473" s="193">
        <f t="shared" si="156"/>
        <v>23137</v>
      </c>
      <c r="J473" s="193">
        <f t="shared" si="156"/>
        <v>33604</v>
      </c>
      <c r="K473" s="193">
        <f t="shared" si="156"/>
        <v>32898</v>
      </c>
      <c r="L473" s="193">
        <f t="shared" si="156"/>
        <v>31974</v>
      </c>
      <c r="M473" s="193">
        <f t="shared" si="156"/>
        <v>31050</v>
      </c>
      <c r="N473" s="193">
        <f t="shared" si="156"/>
        <v>30125</v>
      </c>
      <c r="O473" s="193">
        <f t="shared" si="156"/>
        <v>218737</v>
      </c>
      <c r="P473" s="193">
        <f t="shared" si="156"/>
        <v>402106</v>
      </c>
    </row>
    <row r="474" spans="1:16" ht="14.25" customHeight="1" x14ac:dyDescent="0.25">
      <c r="A474" s="506">
        <f>A471+1</f>
        <v>156</v>
      </c>
      <c r="B474" s="510" t="s">
        <v>405</v>
      </c>
      <c r="C474" s="498" t="s">
        <v>992</v>
      </c>
      <c r="D474" s="488" t="s">
        <v>973</v>
      </c>
      <c r="E474" s="488" t="s">
        <v>978</v>
      </c>
      <c r="F474" s="157" t="s">
        <v>993</v>
      </c>
      <c r="G474" s="186" t="s">
        <v>409</v>
      </c>
      <c r="H474" s="187">
        <v>0</v>
      </c>
      <c r="I474" s="187">
        <v>2720</v>
      </c>
      <c r="J474" s="187">
        <v>5440</v>
      </c>
      <c r="K474" s="187">
        <v>5440</v>
      </c>
      <c r="L474" s="187">
        <v>5440</v>
      </c>
      <c r="M474" s="187">
        <v>5440</v>
      </c>
      <c r="N474" s="187">
        <v>5440</v>
      </c>
      <c r="O474" s="187">
        <f>50294-29920</f>
        <v>20374</v>
      </c>
      <c r="P474" s="188">
        <f>SUM(H474:O474)</f>
        <v>50294</v>
      </c>
    </row>
    <row r="475" spans="1:16" ht="14.25" customHeight="1" x14ac:dyDescent="0.25">
      <c r="A475" s="506"/>
      <c r="B475" s="510"/>
      <c r="C475" s="512"/>
      <c r="D475" s="469"/>
      <c r="E475" s="469"/>
      <c r="F475" s="159" t="s">
        <v>994</v>
      </c>
      <c r="G475" s="189" t="s">
        <v>410</v>
      </c>
      <c r="H475" s="190">
        <f>198+63</f>
        <v>261</v>
      </c>
      <c r="I475" s="190">
        <v>2169</v>
      </c>
      <c r="J475" s="190">
        <v>1994</v>
      </c>
      <c r="K475" s="190">
        <v>1528</v>
      </c>
      <c r="L475" s="190">
        <v>1326</v>
      </c>
      <c r="M475" s="190">
        <v>1125</v>
      </c>
      <c r="N475" s="190">
        <v>924</v>
      </c>
      <c r="O475" s="190">
        <f>10981-9327</f>
        <v>1654</v>
      </c>
      <c r="P475" s="191">
        <f>SUM(H475:O475)</f>
        <v>10981</v>
      </c>
    </row>
    <row r="476" spans="1:16" ht="14.25" customHeight="1" x14ac:dyDescent="0.25">
      <c r="A476" s="506"/>
      <c r="B476" s="510"/>
      <c r="C476" s="512"/>
      <c r="D476" s="469"/>
      <c r="E476" s="469"/>
      <c r="F476" s="182"/>
      <c r="G476" s="161" t="s">
        <v>411</v>
      </c>
      <c r="H476" s="193">
        <f t="shared" ref="H476:P476" si="157">SUM(H474:H475)</f>
        <v>261</v>
      </c>
      <c r="I476" s="193">
        <f t="shared" si="157"/>
        <v>4889</v>
      </c>
      <c r="J476" s="193">
        <f t="shared" si="157"/>
        <v>7434</v>
      </c>
      <c r="K476" s="193">
        <f t="shared" si="157"/>
        <v>6968</v>
      </c>
      <c r="L476" s="193">
        <f t="shared" si="157"/>
        <v>6766</v>
      </c>
      <c r="M476" s="193">
        <f t="shared" si="157"/>
        <v>6565</v>
      </c>
      <c r="N476" s="193">
        <f t="shared" si="157"/>
        <v>6364</v>
      </c>
      <c r="O476" s="193">
        <f t="shared" si="157"/>
        <v>22028</v>
      </c>
      <c r="P476" s="193">
        <f t="shared" si="157"/>
        <v>61275</v>
      </c>
    </row>
    <row r="477" spans="1:16" ht="14.25" customHeight="1" x14ac:dyDescent="0.25">
      <c r="A477" s="506">
        <f>A474+1</f>
        <v>157</v>
      </c>
      <c r="B477" s="510" t="s">
        <v>405</v>
      </c>
      <c r="C477" s="498" t="s">
        <v>995</v>
      </c>
      <c r="D477" s="488" t="s">
        <v>973</v>
      </c>
      <c r="E477" s="488" t="s">
        <v>978</v>
      </c>
      <c r="F477" s="157" t="s">
        <v>996</v>
      </c>
      <c r="G477" s="186" t="s">
        <v>409</v>
      </c>
      <c r="H477" s="187">
        <v>0</v>
      </c>
      <c r="I477" s="187">
        <v>9428</v>
      </c>
      <c r="J477" s="187">
        <v>18856</v>
      </c>
      <c r="K477" s="187">
        <v>18856</v>
      </c>
      <c r="L477" s="187">
        <v>18856</v>
      </c>
      <c r="M477" s="187">
        <v>18856</v>
      </c>
      <c r="N477" s="187">
        <v>18856</v>
      </c>
      <c r="O477" s="187">
        <f>174418-103708</f>
        <v>70710</v>
      </c>
      <c r="P477" s="188">
        <f>SUM(H477:O477)</f>
        <v>174418</v>
      </c>
    </row>
    <row r="478" spans="1:16" ht="14.25" customHeight="1" x14ac:dyDescent="0.25">
      <c r="A478" s="506"/>
      <c r="B478" s="510"/>
      <c r="C478" s="512"/>
      <c r="D478" s="469"/>
      <c r="E478" s="469"/>
      <c r="F478" s="159" t="s">
        <v>997</v>
      </c>
      <c r="G478" s="189" t="s">
        <v>410</v>
      </c>
      <c r="H478" s="190">
        <f>231+196-42</f>
        <v>385</v>
      </c>
      <c r="I478" s="190">
        <v>7257</v>
      </c>
      <c r="J478" s="190">
        <v>6834</v>
      </c>
      <c r="K478" s="190">
        <v>5299</v>
      </c>
      <c r="L478" s="190">
        <v>4601</v>
      </c>
      <c r="M478" s="190">
        <v>3903</v>
      </c>
      <c r="N478" s="190">
        <v>3205</v>
      </c>
      <c r="O478" s="190">
        <f>37316-31484</f>
        <v>5832</v>
      </c>
      <c r="P478" s="191">
        <f>SUM(H478:O478)</f>
        <v>37316</v>
      </c>
    </row>
    <row r="479" spans="1:16" ht="14.25" customHeight="1" x14ac:dyDescent="0.25">
      <c r="A479" s="506"/>
      <c r="B479" s="510"/>
      <c r="C479" s="512"/>
      <c r="D479" s="469"/>
      <c r="E479" s="469"/>
      <c r="F479" s="182"/>
      <c r="G479" s="161" t="s">
        <v>411</v>
      </c>
      <c r="H479" s="193">
        <f t="shared" ref="H479:P479" si="158">SUM(H477:H478)</f>
        <v>385</v>
      </c>
      <c r="I479" s="193">
        <f t="shared" si="158"/>
        <v>16685</v>
      </c>
      <c r="J479" s="193">
        <f t="shared" si="158"/>
        <v>25690</v>
      </c>
      <c r="K479" s="193">
        <f t="shared" si="158"/>
        <v>24155</v>
      </c>
      <c r="L479" s="193">
        <f t="shared" si="158"/>
        <v>23457</v>
      </c>
      <c r="M479" s="193">
        <f t="shared" si="158"/>
        <v>22759</v>
      </c>
      <c r="N479" s="193">
        <f t="shared" si="158"/>
        <v>22061</v>
      </c>
      <c r="O479" s="193">
        <f t="shared" si="158"/>
        <v>76542</v>
      </c>
      <c r="P479" s="193">
        <f t="shared" si="158"/>
        <v>211734</v>
      </c>
    </row>
    <row r="480" spans="1:16" ht="14.25" customHeight="1" x14ac:dyDescent="0.25">
      <c r="A480" s="506">
        <f>A477+1</f>
        <v>158</v>
      </c>
      <c r="B480" s="470" t="s">
        <v>405</v>
      </c>
      <c r="C480" s="498" t="s">
        <v>998</v>
      </c>
      <c r="D480" s="488" t="s">
        <v>985</v>
      </c>
      <c r="E480" s="488" t="s">
        <v>461</v>
      </c>
      <c r="F480" s="157" t="s">
        <v>999</v>
      </c>
      <c r="G480" s="186" t="s">
        <v>409</v>
      </c>
      <c r="H480" s="187">
        <v>0</v>
      </c>
      <c r="I480" s="187">
        <f>3808*2</f>
        <v>7616</v>
      </c>
      <c r="J480" s="187">
        <f>3808*4</f>
        <v>15232</v>
      </c>
      <c r="K480" s="187">
        <f>3808*4</f>
        <v>15232</v>
      </c>
      <c r="L480" s="187">
        <f>3808*4</f>
        <v>15232</v>
      </c>
      <c r="M480" s="187">
        <f>3808*4</f>
        <v>15232</v>
      </c>
      <c r="N480" s="187">
        <f>3808*4</f>
        <v>15232</v>
      </c>
      <c r="O480" s="187">
        <f>137087-83776</f>
        <v>53311</v>
      </c>
      <c r="P480" s="188">
        <f>SUM(H480:O480)</f>
        <v>137087</v>
      </c>
    </row>
    <row r="481" spans="1:16" ht="14.25" customHeight="1" x14ac:dyDescent="0.25">
      <c r="A481" s="506"/>
      <c r="B481" s="470"/>
      <c r="C481" s="512"/>
      <c r="D481" s="469"/>
      <c r="E481" s="469"/>
      <c r="F481" s="159" t="s">
        <v>1000</v>
      </c>
      <c r="G481" s="189" t="s">
        <v>410</v>
      </c>
      <c r="H481" s="190">
        <v>419</v>
      </c>
      <c r="I481" s="190">
        <v>7880</v>
      </c>
      <c r="J481" s="190">
        <v>7895</v>
      </c>
      <c r="K481" s="190">
        <v>7334</v>
      </c>
      <c r="L481" s="190">
        <v>6740</v>
      </c>
      <c r="M481" s="190">
        <v>6146</v>
      </c>
      <c r="N481" s="190">
        <v>5552</v>
      </c>
      <c r="O481" s="190">
        <f>65195-41966</f>
        <v>23229</v>
      </c>
      <c r="P481" s="191">
        <f>SUM(H481:O481)</f>
        <v>65195</v>
      </c>
    </row>
    <row r="482" spans="1:16" ht="14.25" customHeight="1" x14ac:dyDescent="0.25">
      <c r="A482" s="506"/>
      <c r="B482" s="470"/>
      <c r="C482" s="512"/>
      <c r="D482" s="469"/>
      <c r="E482" s="469"/>
      <c r="F482" s="182"/>
      <c r="G482" s="161" t="s">
        <v>411</v>
      </c>
      <c r="H482" s="193">
        <f t="shared" ref="H482:P482" si="159">SUM(H480:H481)</f>
        <v>419</v>
      </c>
      <c r="I482" s="193">
        <f t="shared" si="159"/>
        <v>15496</v>
      </c>
      <c r="J482" s="193">
        <f t="shared" si="159"/>
        <v>23127</v>
      </c>
      <c r="K482" s="193">
        <f t="shared" si="159"/>
        <v>22566</v>
      </c>
      <c r="L482" s="193">
        <f t="shared" si="159"/>
        <v>21972</v>
      </c>
      <c r="M482" s="193">
        <f t="shared" si="159"/>
        <v>21378</v>
      </c>
      <c r="N482" s="193">
        <f t="shared" si="159"/>
        <v>20784</v>
      </c>
      <c r="O482" s="193">
        <f t="shared" si="159"/>
        <v>76540</v>
      </c>
      <c r="P482" s="193">
        <f t="shared" si="159"/>
        <v>202282</v>
      </c>
    </row>
    <row r="483" spans="1:16" ht="14.25" customHeight="1" x14ac:dyDescent="0.25">
      <c r="A483" s="506">
        <f>A480+1</f>
        <v>159</v>
      </c>
      <c r="B483" s="470" t="s">
        <v>405</v>
      </c>
      <c r="C483" s="498" t="s">
        <v>1001</v>
      </c>
      <c r="D483" s="488" t="s">
        <v>985</v>
      </c>
      <c r="E483" s="488" t="s">
        <v>986</v>
      </c>
      <c r="F483" s="157" t="s">
        <v>1002</v>
      </c>
      <c r="G483" s="186" t="s">
        <v>409</v>
      </c>
      <c r="H483" s="187">
        <v>0</v>
      </c>
      <c r="I483" s="187">
        <v>0</v>
      </c>
      <c r="J483" s="187">
        <f>12331*4</f>
        <v>49324</v>
      </c>
      <c r="K483" s="187">
        <f>12331*4</f>
        <v>49324</v>
      </c>
      <c r="L483" s="187">
        <f>12331*4</f>
        <v>49324</v>
      </c>
      <c r="M483" s="187">
        <f>12331*4</f>
        <v>49324</v>
      </c>
      <c r="N483" s="187">
        <f>12331*4</f>
        <v>49324</v>
      </c>
      <c r="O483" s="187">
        <f>665838-246620</f>
        <v>419218</v>
      </c>
      <c r="P483" s="188">
        <f>SUM(H483:O483)</f>
        <v>665838</v>
      </c>
    </row>
    <row r="484" spans="1:16" ht="14.25" customHeight="1" x14ac:dyDescent="0.25">
      <c r="A484" s="506"/>
      <c r="B484" s="470"/>
      <c r="C484" s="512"/>
      <c r="D484" s="469"/>
      <c r="E484" s="469"/>
      <c r="F484" s="159" t="s">
        <v>1003</v>
      </c>
      <c r="G484" s="189" t="s">
        <v>410</v>
      </c>
      <c r="H484" s="190">
        <f>469+952</f>
        <v>1421</v>
      </c>
      <c r="I484" s="190">
        <v>15975</v>
      </c>
      <c r="J484" s="190">
        <v>24254</v>
      </c>
      <c r="K484" s="190">
        <v>22529</v>
      </c>
      <c r="L484" s="190">
        <v>20703</v>
      </c>
      <c r="M484" s="190">
        <v>18879</v>
      </c>
      <c r="N484" s="190">
        <v>17053</v>
      </c>
      <c r="O484" s="190">
        <f>192481-121126</f>
        <v>71355</v>
      </c>
      <c r="P484" s="191">
        <f>SUM(H484:O484)</f>
        <v>192169</v>
      </c>
    </row>
    <row r="485" spans="1:16" ht="14.25" customHeight="1" x14ac:dyDescent="0.25">
      <c r="A485" s="506"/>
      <c r="B485" s="470"/>
      <c r="C485" s="512"/>
      <c r="D485" s="469"/>
      <c r="E485" s="469"/>
      <c r="F485" s="182"/>
      <c r="G485" s="161" t="s">
        <v>411</v>
      </c>
      <c r="H485" s="193">
        <f t="shared" ref="H485:P485" si="160">SUM(H483:H484)</f>
        <v>1421</v>
      </c>
      <c r="I485" s="193">
        <f t="shared" si="160"/>
        <v>15975</v>
      </c>
      <c r="J485" s="193">
        <f t="shared" si="160"/>
        <v>73578</v>
      </c>
      <c r="K485" s="193">
        <f t="shared" si="160"/>
        <v>71853</v>
      </c>
      <c r="L485" s="193">
        <f t="shared" si="160"/>
        <v>70027</v>
      </c>
      <c r="M485" s="193">
        <f t="shared" si="160"/>
        <v>68203</v>
      </c>
      <c r="N485" s="193">
        <f t="shared" si="160"/>
        <v>66377</v>
      </c>
      <c r="O485" s="193">
        <f t="shared" si="160"/>
        <v>490573</v>
      </c>
      <c r="P485" s="193">
        <f t="shared" si="160"/>
        <v>858007</v>
      </c>
    </row>
    <row r="486" spans="1:16" ht="14.25" customHeight="1" x14ac:dyDescent="0.25">
      <c r="A486" s="506">
        <f>A483+1</f>
        <v>160</v>
      </c>
      <c r="B486" s="470" t="s">
        <v>405</v>
      </c>
      <c r="C486" s="498" t="s">
        <v>1004</v>
      </c>
      <c r="D486" s="488" t="s">
        <v>985</v>
      </c>
      <c r="E486" s="488" t="s">
        <v>986</v>
      </c>
      <c r="F486" s="157" t="s">
        <v>1005</v>
      </c>
      <c r="G486" s="186" t="s">
        <v>409</v>
      </c>
      <c r="H486" s="187">
        <v>0</v>
      </c>
      <c r="I486" s="187">
        <v>0</v>
      </c>
      <c r="J486" s="187">
        <f>11045*4</f>
        <v>44180</v>
      </c>
      <c r="K486" s="187">
        <f>11045*4</f>
        <v>44180</v>
      </c>
      <c r="L486" s="187">
        <f>11045*4</f>
        <v>44180</v>
      </c>
      <c r="M486" s="187">
        <f>11045*4</f>
        <v>44180</v>
      </c>
      <c r="N486" s="187">
        <f>11045*4</f>
        <v>44180</v>
      </c>
      <c r="O486" s="187">
        <f>596420-220900</f>
        <v>375520</v>
      </c>
      <c r="P486" s="188">
        <f>SUM(H486:O486)</f>
        <v>596420</v>
      </c>
    </row>
    <row r="487" spans="1:16" ht="14.25" customHeight="1" x14ac:dyDescent="0.25">
      <c r="A487" s="506"/>
      <c r="B487" s="470"/>
      <c r="C487" s="512"/>
      <c r="D487" s="469"/>
      <c r="E487" s="469"/>
      <c r="F487" s="159" t="s">
        <v>1006</v>
      </c>
      <c r="G487" s="189" t="s">
        <v>410</v>
      </c>
      <c r="H487" s="190">
        <v>469</v>
      </c>
      <c r="I487" s="190">
        <v>15103</v>
      </c>
      <c r="J487" s="190">
        <v>22757</v>
      </c>
      <c r="K487" s="190">
        <v>21138</v>
      </c>
      <c r="L487" s="190">
        <v>19426</v>
      </c>
      <c r="M487" s="190">
        <v>17713</v>
      </c>
      <c r="N487" s="190">
        <v>16000</v>
      </c>
      <c r="O487" s="190">
        <f>179559-112606</f>
        <v>66953</v>
      </c>
      <c r="P487" s="191">
        <f>SUM(H487:O487)</f>
        <v>179559</v>
      </c>
    </row>
    <row r="488" spans="1:16" ht="14.25" customHeight="1" x14ac:dyDescent="0.25">
      <c r="A488" s="506"/>
      <c r="B488" s="470"/>
      <c r="C488" s="512"/>
      <c r="D488" s="469"/>
      <c r="E488" s="469"/>
      <c r="F488" s="182"/>
      <c r="G488" s="161" t="s">
        <v>411</v>
      </c>
      <c r="H488" s="193">
        <f t="shared" ref="H488:P488" si="161">SUM(H486:H487)</f>
        <v>469</v>
      </c>
      <c r="I488" s="193">
        <f t="shared" si="161"/>
        <v>15103</v>
      </c>
      <c r="J488" s="193">
        <f t="shared" si="161"/>
        <v>66937</v>
      </c>
      <c r="K488" s="193">
        <f t="shared" si="161"/>
        <v>65318</v>
      </c>
      <c r="L488" s="193">
        <f t="shared" si="161"/>
        <v>63606</v>
      </c>
      <c r="M488" s="193">
        <f t="shared" si="161"/>
        <v>61893</v>
      </c>
      <c r="N488" s="193">
        <f t="shared" si="161"/>
        <v>60180</v>
      </c>
      <c r="O488" s="193">
        <f t="shared" si="161"/>
        <v>442473</v>
      </c>
      <c r="P488" s="193">
        <f t="shared" si="161"/>
        <v>775979</v>
      </c>
    </row>
    <row r="489" spans="1:16" ht="14.25" customHeight="1" x14ac:dyDescent="0.25">
      <c r="A489" s="506">
        <f>A486+1</f>
        <v>161</v>
      </c>
      <c r="B489" s="470" t="s">
        <v>405</v>
      </c>
      <c r="C489" s="498" t="s">
        <v>1007</v>
      </c>
      <c r="D489" s="488" t="s">
        <v>985</v>
      </c>
      <c r="E489" s="488" t="s">
        <v>986</v>
      </c>
      <c r="F489" s="157" t="s">
        <v>1008</v>
      </c>
      <c r="G489" s="186" t="s">
        <v>409</v>
      </c>
      <c r="H489" s="187">
        <v>0</v>
      </c>
      <c r="I489" s="187">
        <v>0</v>
      </c>
      <c r="J489" s="187">
        <f>3683*4</f>
        <v>14732</v>
      </c>
      <c r="K489" s="187">
        <f>3683*4</f>
        <v>14732</v>
      </c>
      <c r="L489" s="187">
        <f>3683*4</f>
        <v>14732</v>
      </c>
      <c r="M489" s="187">
        <f>3683*4</f>
        <v>14732</v>
      </c>
      <c r="N489" s="187">
        <f>3683*4</f>
        <v>14732</v>
      </c>
      <c r="O489" s="187">
        <f>198835-73660</f>
        <v>125175</v>
      </c>
      <c r="P489" s="188">
        <f>SUM(H489:O489)</f>
        <v>198835</v>
      </c>
    </row>
    <row r="490" spans="1:16" ht="14.25" customHeight="1" x14ac:dyDescent="0.25">
      <c r="A490" s="506"/>
      <c r="B490" s="470"/>
      <c r="C490" s="512"/>
      <c r="D490" s="469"/>
      <c r="E490" s="469"/>
      <c r="F490" s="159" t="s">
        <v>1009</v>
      </c>
      <c r="G490" s="189" t="s">
        <v>410</v>
      </c>
      <c r="H490" s="190">
        <f>402-257</f>
        <v>145</v>
      </c>
      <c r="I490" s="190">
        <v>4237</v>
      </c>
      <c r="J490" s="190">
        <v>7243</v>
      </c>
      <c r="K490" s="190">
        <v>6730</v>
      </c>
      <c r="L490" s="190">
        <v>6182</v>
      </c>
      <c r="M490" s="190">
        <v>5637</v>
      </c>
      <c r="N490" s="190">
        <v>5092</v>
      </c>
      <c r="O490" s="190">
        <f>56641-35334</f>
        <v>21307</v>
      </c>
      <c r="P490" s="191">
        <f>SUM(H490:O490)</f>
        <v>56573</v>
      </c>
    </row>
    <row r="491" spans="1:16" ht="14.25" customHeight="1" x14ac:dyDescent="0.25">
      <c r="A491" s="506"/>
      <c r="B491" s="470"/>
      <c r="C491" s="512"/>
      <c r="D491" s="469"/>
      <c r="E491" s="469"/>
      <c r="F491" s="182"/>
      <c r="G491" s="161" t="s">
        <v>411</v>
      </c>
      <c r="H491" s="193">
        <f>SUM(H489:H490)</f>
        <v>145</v>
      </c>
      <c r="I491" s="193">
        <f t="shared" ref="I491:P491" si="162">SUM(I489:I490)</f>
        <v>4237</v>
      </c>
      <c r="J491" s="193">
        <f t="shared" si="162"/>
        <v>21975</v>
      </c>
      <c r="K491" s="193">
        <f t="shared" si="162"/>
        <v>21462</v>
      </c>
      <c r="L491" s="193">
        <f t="shared" si="162"/>
        <v>20914</v>
      </c>
      <c r="M491" s="193">
        <f t="shared" si="162"/>
        <v>20369</v>
      </c>
      <c r="N491" s="193">
        <f t="shared" si="162"/>
        <v>19824</v>
      </c>
      <c r="O491" s="193">
        <f t="shared" si="162"/>
        <v>146482</v>
      </c>
      <c r="P491" s="193">
        <f t="shared" si="162"/>
        <v>255408</v>
      </c>
    </row>
    <row r="492" spans="1:16" ht="14.25" customHeight="1" x14ac:dyDescent="0.25">
      <c r="A492" s="506">
        <f>A489+1</f>
        <v>162</v>
      </c>
      <c r="B492" s="510" t="s">
        <v>405</v>
      </c>
      <c r="C492" s="498" t="s">
        <v>1010</v>
      </c>
      <c r="D492" s="488" t="s">
        <v>973</v>
      </c>
      <c r="E492" s="488" t="s">
        <v>974</v>
      </c>
      <c r="F492" s="157" t="s">
        <v>1011</v>
      </c>
      <c r="G492" s="186" t="s">
        <v>409</v>
      </c>
      <c r="H492" s="187">
        <v>0</v>
      </c>
      <c r="I492" s="187">
        <v>0</v>
      </c>
      <c r="J492" s="187">
        <v>43916</v>
      </c>
      <c r="K492" s="187">
        <v>43916</v>
      </c>
      <c r="L492" s="187">
        <v>43916</v>
      </c>
      <c r="M492" s="187">
        <v>43916</v>
      </c>
      <c r="N492" s="187">
        <v>43916</v>
      </c>
      <c r="O492" s="187">
        <f>603825-219580</f>
        <v>384245</v>
      </c>
      <c r="P492" s="188">
        <f>SUM(H492:O492)</f>
        <v>603825</v>
      </c>
    </row>
    <row r="493" spans="1:16" ht="14.25" customHeight="1" x14ac:dyDescent="0.25">
      <c r="A493" s="506"/>
      <c r="B493" s="510"/>
      <c r="C493" s="512"/>
      <c r="D493" s="469"/>
      <c r="E493" s="469"/>
      <c r="F493" s="159" t="s">
        <v>1012</v>
      </c>
      <c r="G493" s="189" t="s">
        <v>410</v>
      </c>
      <c r="H493" s="190">
        <f>736-575</f>
        <v>161</v>
      </c>
      <c r="I493" s="190">
        <v>11801</v>
      </c>
      <c r="J493" s="190">
        <v>26921</v>
      </c>
      <c r="K493" s="190">
        <v>20465</v>
      </c>
      <c r="L493" s="190">
        <v>18840</v>
      </c>
      <c r="M493" s="190">
        <v>17215</v>
      </c>
      <c r="N493" s="190">
        <v>15590</v>
      </c>
      <c r="O493" s="190">
        <f>178172-110993</f>
        <v>67179</v>
      </c>
      <c r="P493" s="191">
        <f>SUM(H493:O493)</f>
        <v>178172</v>
      </c>
    </row>
    <row r="494" spans="1:16" ht="14.25" customHeight="1" x14ac:dyDescent="0.25">
      <c r="A494" s="506"/>
      <c r="B494" s="510"/>
      <c r="C494" s="512"/>
      <c r="D494" s="469"/>
      <c r="E494" s="469"/>
      <c r="F494" s="182"/>
      <c r="G494" s="161" t="s">
        <v>411</v>
      </c>
      <c r="H494" s="193">
        <f t="shared" ref="H494:P494" si="163">SUM(H492:H493)</f>
        <v>161</v>
      </c>
      <c r="I494" s="193">
        <f t="shared" si="163"/>
        <v>11801</v>
      </c>
      <c r="J494" s="193">
        <f t="shared" si="163"/>
        <v>70837</v>
      </c>
      <c r="K494" s="193">
        <f t="shared" si="163"/>
        <v>64381</v>
      </c>
      <c r="L494" s="193">
        <f t="shared" si="163"/>
        <v>62756</v>
      </c>
      <c r="M494" s="193">
        <f t="shared" si="163"/>
        <v>61131</v>
      </c>
      <c r="N494" s="193">
        <f t="shared" si="163"/>
        <v>59506</v>
      </c>
      <c r="O494" s="193">
        <f t="shared" si="163"/>
        <v>451424</v>
      </c>
      <c r="P494" s="193">
        <f t="shared" si="163"/>
        <v>781997</v>
      </c>
    </row>
    <row r="495" spans="1:16" ht="14.25" customHeight="1" x14ac:dyDescent="0.25">
      <c r="A495" s="506">
        <f>A492+1</f>
        <v>163</v>
      </c>
      <c r="B495" s="507" t="s">
        <v>405</v>
      </c>
      <c r="C495" s="481" t="s">
        <v>1013</v>
      </c>
      <c r="D495" s="488" t="s">
        <v>950</v>
      </c>
      <c r="E495" s="488" t="s">
        <v>1014</v>
      </c>
      <c r="F495" s="157"/>
      <c r="G495" s="186" t="s">
        <v>409</v>
      </c>
      <c r="H495" s="194">
        <v>0</v>
      </c>
      <c r="I495" s="194">
        <v>2878</v>
      </c>
      <c r="J495" s="194">
        <v>5784</v>
      </c>
      <c r="K495" s="194">
        <v>5784</v>
      </c>
      <c r="L495" s="194">
        <v>5784</v>
      </c>
      <c r="M495" s="194">
        <v>5784</v>
      </c>
      <c r="N495" s="194">
        <v>5784</v>
      </c>
      <c r="O495" s="194">
        <f>52042-31798</f>
        <v>20244</v>
      </c>
      <c r="P495" s="195">
        <f>SUM(H495:O495)</f>
        <v>52042</v>
      </c>
    </row>
    <row r="496" spans="1:16" ht="14.25" customHeight="1" x14ac:dyDescent="0.25">
      <c r="A496" s="506"/>
      <c r="B496" s="507"/>
      <c r="C496" s="471"/>
      <c r="D496" s="469"/>
      <c r="E496" s="469"/>
      <c r="F496" s="189" t="s">
        <v>952</v>
      </c>
      <c r="G496" s="189" t="s">
        <v>410</v>
      </c>
      <c r="H496" s="196">
        <v>147</v>
      </c>
      <c r="I496" s="196">
        <v>1924</v>
      </c>
      <c r="J496" s="196">
        <v>1786</v>
      </c>
      <c r="K496" s="196">
        <v>1572</v>
      </c>
      <c r="L496" s="196">
        <v>1358</v>
      </c>
      <c r="M496" s="196">
        <v>1144</v>
      </c>
      <c r="N496" s="196">
        <v>930</v>
      </c>
      <c r="O496" s="196">
        <f>10440-8861</f>
        <v>1579</v>
      </c>
      <c r="P496" s="176">
        <f>SUM(H496:O496)</f>
        <v>10440</v>
      </c>
    </row>
    <row r="497" spans="1:16" ht="14.25" customHeight="1" x14ac:dyDescent="0.25">
      <c r="A497" s="506"/>
      <c r="B497" s="507"/>
      <c r="C497" s="471"/>
      <c r="D497" s="469"/>
      <c r="E497" s="469"/>
      <c r="F497" s="182"/>
      <c r="G497" s="161" t="s">
        <v>411</v>
      </c>
      <c r="H497" s="197">
        <f t="shared" ref="H497:P497" si="164">SUM(H495:H496)</f>
        <v>147</v>
      </c>
      <c r="I497" s="197">
        <f t="shared" si="164"/>
        <v>4802</v>
      </c>
      <c r="J497" s="197">
        <f t="shared" si="164"/>
        <v>7570</v>
      </c>
      <c r="K497" s="197">
        <f t="shared" si="164"/>
        <v>7356</v>
      </c>
      <c r="L497" s="197">
        <f t="shared" si="164"/>
        <v>7142</v>
      </c>
      <c r="M497" s="197">
        <f t="shared" si="164"/>
        <v>6928</v>
      </c>
      <c r="N497" s="197">
        <f t="shared" si="164"/>
        <v>6714</v>
      </c>
      <c r="O497" s="197">
        <f t="shared" si="164"/>
        <v>21823</v>
      </c>
      <c r="P497" s="197">
        <f t="shared" si="164"/>
        <v>62482</v>
      </c>
    </row>
    <row r="498" spans="1:16" ht="14.25" hidden="1" customHeight="1" outlineLevel="1" x14ac:dyDescent="0.25">
      <c r="A498" s="506">
        <f>A495+1</f>
        <v>164</v>
      </c>
      <c r="B498" s="470" t="s">
        <v>405</v>
      </c>
      <c r="C498" s="481"/>
      <c r="D498" s="488"/>
      <c r="E498" s="488"/>
      <c r="F498" s="157"/>
      <c r="G498" s="186" t="s">
        <v>409</v>
      </c>
      <c r="H498" s="198"/>
      <c r="I498" s="198"/>
      <c r="J498" s="198"/>
      <c r="K498" s="198"/>
      <c r="L498" s="198"/>
      <c r="M498" s="198"/>
      <c r="N498" s="198"/>
      <c r="O498" s="198"/>
      <c r="P498" s="199">
        <f>SUM(H498:O498)</f>
        <v>0</v>
      </c>
    </row>
    <row r="499" spans="1:16" ht="14.25" hidden="1" customHeight="1" outlineLevel="1" x14ac:dyDescent="0.25">
      <c r="A499" s="506"/>
      <c r="B499" s="470"/>
      <c r="C499" s="471"/>
      <c r="D499" s="469"/>
      <c r="E499" s="469"/>
      <c r="F499" s="189" t="s">
        <v>952</v>
      </c>
      <c r="G499" s="189" t="s">
        <v>410</v>
      </c>
      <c r="H499" s="200"/>
      <c r="I499" s="200"/>
      <c r="J499" s="200"/>
      <c r="K499" s="200"/>
      <c r="L499" s="200"/>
      <c r="M499" s="200"/>
      <c r="N499" s="200"/>
      <c r="O499" s="200"/>
      <c r="P499" s="173">
        <f>SUM(H499:O499)</f>
        <v>0</v>
      </c>
    </row>
    <row r="500" spans="1:16" ht="14.25" hidden="1" customHeight="1" outlineLevel="1" x14ac:dyDescent="0.25">
      <c r="A500" s="506"/>
      <c r="B500" s="470"/>
      <c r="C500" s="471"/>
      <c r="D500" s="469"/>
      <c r="E500" s="469"/>
      <c r="F500" s="182"/>
      <c r="G500" s="161" t="s">
        <v>411</v>
      </c>
      <c r="H500" s="201">
        <f t="shared" ref="H500:P500" si="165">SUM(H498:H499)</f>
        <v>0</v>
      </c>
      <c r="I500" s="201">
        <f t="shared" si="165"/>
        <v>0</v>
      </c>
      <c r="J500" s="201">
        <f t="shared" si="165"/>
        <v>0</v>
      </c>
      <c r="K500" s="201">
        <f t="shared" si="165"/>
        <v>0</v>
      </c>
      <c r="L500" s="201">
        <f t="shared" si="165"/>
        <v>0</v>
      </c>
      <c r="M500" s="201">
        <f t="shared" si="165"/>
        <v>0</v>
      </c>
      <c r="N500" s="201">
        <f t="shared" si="165"/>
        <v>0</v>
      </c>
      <c r="O500" s="201">
        <f t="shared" si="165"/>
        <v>0</v>
      </c>
      <c r="P500" s="201">
        <f t="shared" si="165"/>
        <v>0</v>
      </c>
    </row>
    <row r="501" spans="1:16" collapsed="1" x14ac:dyDescent="0.25">
      <c r="A501" s="532"/>
      <c r="B501" s="514" t="s">
        <v>1015</v>
      </c>
      <c r="C501" s="533" t="s">
        <v>1016</v>
      </c>
      <c r="D501" s="514" t="s">
        <v>1015</v>
      </c>
      <c r="E501" s="514" t="s">
        <v>1015</v>
      </c>
      <c r="F501" s="514" t="s">
        <v>1015</v>
      </c>
      <c r="G501" s="203" t="s">
        <v>409</v>
      </c>
      <c r="H501" s="204">
        <f>H9+H12++H15++H18+H21+H24+H27+H30+H33+H36+H39+H42+H45+H48+H51+H54+H57+H60+H63+H66+H69+H72+H75+H78+H81+H84+H87+H90+H93+H96+H99+H102+H105+H108+H111+H114+H117+H120+H123+H126+H129+H132+H135+H138+H141+H144+H147+H150+H153+H156+H159+H162+H165+H168+H171+H174+H177+H180+H183+H186+H189+H192+H195+H198+H201+H204+H207+H210+H213+H216+H219+H222+H225+H228+H231+H234+H237+H240+H243+H246+H249+H252+H255+H258+H261+H264+H267+H270+H273+H276+H279+H282+H285+H288+H291+H294+H297+H300+H303+H306+H309+H312+H315+H318+H321+H324+H327+H330+H333+H336+H339+H342+H345+H348+H351+H354+H357+H360+H363+H366+H369+H372+H375+H378+H381+H384+H387+H390+H393+H396+H399+H402+H405+H408+H411+H414+H417+H420+H423+H426+H429+H432+H435+H438+H441+H444+H447+H450+H453+H456+H459+H462+H465+H468+H471+H474+H477+H480+H483+H486+H489+H492+H495</f>
        <v>3976135</v>
      </c>
      <c r="I501" s="204">
        <f t="shared" ref="I501:P501" si="166">I9+I12++I15++I18+I21+I24+I27+I30+I33+I36+I39+I42+I45+I48+I51+I54+I57+I60+I63+I66+I69+I72+I75+I78+I81+I84+I87+I90+I93+I96+I99+I102+I105+I108+I111+I114+I117+I120+I123+I126+I129+I132+I135+I138+I141+I144+I147+I150+I153+I156+I159+I162+I165+I168+I171+I174+I177+I180+I183+I186+I189+I192+I195+I198+I201+I204+I207+I210+I213+I216+I219+I222+I225+I228+I231+I234+I237+I240+I243+I246+I249+I252+I255+I258+I261+I264+I267+I270+I273+I276+I279+I282+I285+I288+I291+I294+I297+I300+I303+I306+I309+I312+I315+I318+I321+I324+I327+I330+I333+I336+I339+I342+I345+I348+I351+I354+I357+I360+I363+I366+I369+I372+I375+I378+I381+I384+I387+I390+I393+I396+I399+I402+I405+I408+I411+I414+I417+I420+I423+I426+I429+I432+I435+I438+I441+I444+I447+I450+I453+I456+I459+I462+I465+I468+I471+I474+I477+I480+I483+I486+I489+I492+I495</f>
        <v>4361027</v>
      </c>
      <c r="J501" s="204">
        <f t="shared" si="166"/>
        <v>4853354</v>
      </c>
      <c r="K501" s="204">
        <f t="shared" si="166"/>
        <v>4848142</v>
      </c>
      <c r="L501" s="204">
        <f t="shared" si="166"/>
        <v>4760560</v>
      </c>
      <c r="M501" s="204">
        <f t="shared" si="166"/>
        <v>4480433</v>
      </c>
      <c r="N501" s="204">
        <f t="shared" si="166"/>
        <v>4141866</v>
      </c>
      <c r="O501" s="204">
        <f t="shared" si="166"/>
        <v>48449448</v>
      </c>
      <c r="P501" s="204">
        <f t="shared" si="166"/>
        <v>79870965</v>
      </c>
    </row>
    <row r="502" spans="1:16" x14ac:dyDescent="0.25">
      <c r="A502" s="532"/>
      <c r="B502" s="470"/>
      <c r="C502" s="533"/>
      <c r="D502" s="470"/>
      <c r="E502" s="470"/>
      <c r="F502" s="514"/>
      <c r="G502" s="205" t="s">
        <v>410</v>
      </c>
      <c r="H502" s="204">
        <f t="shared" ref="H502:P503" si="167">H10+H13++H16++H19+H22+H25+H28+H31+H34+H37+H40+H43+H46+H49+H52+H55+H58+H61+H64+H67+H70+H73+H76+H79+H82+H85+H88+H91+H94+H97+H100+H103+H106+H109+H112+H115+H118+H121+H124+H127+H130+H133+H136+H139+H142+H145+H148+H151+H154+H157+H160+H163+H166+H169+H172+H175+H178+H181+H184+H187+H190+H193+H196+H199+H202+H205+H208+H211+H214+H217+H220+H223+H226+H229+H232+H235+H238+H241+H244+H247+H250+H253+H256+H259+H262+H265+H268+H271+H274+H277+H280+H283+H286+H289+H292+H295+H298+H301+H304+H307+H310+H313+H316+H319+H322+H325+H328+H331+H334+H337+H340+H343+H346+H349+H352+H355+H358+H361+H364+H367+H370+H373+H376+H379+H382+H385+H388+H391+H394+H397+H400+H403+H406+H409+H412+H415+H418+H421+H424+H427+H430+H433+H436+H439+H442+H445+H448+H451+H454+H457+H460+H463+H466+H469+H472+H475+H478+H481+H484+H487+H490+H493+H496</f>
        <v>1621599</v>
      </c>
      <c r="I502" s="204">
        <f t="shared" si="167"/>
        <v>3237865</v>
      </c>
      <c r="J502" s="204">
        <f t="shared" si="167"/>
        <v>3198794</v>
      </c>
      <c r="K502" s="204">
        <f t="shared" si="167"/>
        <v>2946450</v>
      </c>
      <c r="L502" s="204">
        <f t="shared" si="167"/>
        <v>2718285</v>
      </c>
      <c r="M502" s="204">
        <f t="shared" si="167"/>
        <v>2517924</v>
      </c>
      <c r="N502" s="204">
        <f t="shared" si="167"/>
        <v>2318603.1</v>
      </c>
      <c r="O502" s="204">
        <f t="shared" si="167"/>
        <v>16337365</v>
      </c>
      <c r="P502" s="204">
        <f t="shared" si="167"/>
        <v>34896885.100000001</v>
      </c>
    </row>
    <row r="503" spans="1:16" ht="15" customHeight="1" x14ac:dyDescent="0.25">
      <c r="A503" s="532"/>
      <c r="B503" s="470"/>
      <c r="C503" s="533"/>
      <c r="D503" s="470"/>
      <c r="E503" s="470"/>
      <c r="F503" s="514"/>
      <c r="G503" s="206" t="s">
        <v>1017</v>
      </c>
      <c r="H503" s="207">
        <f t="shared" si="167"/>
        <v>5597734</v>
      </c>
      <c r="I503" s="207">
        <f t="shared" si="167"/>
        <v>7598892</v>
      </c>
      <c r="J503" s="207">
        <f t="shared" si="167"/>
        <v>8052148</v>
      </c>
      <c r="K503" s="207">
        <f t="shared" si="167"/>
        <v>7794592</v>
      </c>
      <c r="L503" s="207">
        <f t="shared" si="167"/>
        <v>7478845</v>
      </c>
      <c r="M503" s="207">
        <f t="shared" si="167"/>
        <v>6998357</v>
      </c>
      <c r="N503" s="207">
        <f t="shared" si="167"/>
        <v>6460469.0999999996</v>
      </c>
      <c r="O503" s="207">
        <f t="shared" si="167"/>
        <v>64786813</v>
      </c>
      <c r="P503" s="207">
        <f t="shared" si="167"/>
        <v>114767850.09999999</v>
      </c>
    </row>
    <row r="504" spans="1:16" x14ac:dyDescent="0.25">
      <c r="A504" s="515" t="s">
        <v>1018</v>
      </c>
      <c r="B504" s="516"/>
      <c r="C504" s="516"/>
      <c r="D504" s="516"/>
      <c r="E504" s="516"/>
      <c r="F504" s="516"/>
      <c r="G504" s="516"/>
      <c r="H504" s="516"/>
      <c r="I504" s="516"/>
      <c r="J504" s="516"/>
      <c r="K504" s="516"/>
      <c r="L504" s="516"/>
      <c r="M504" s="516"/>
      <c r="N504" s="516"/>
      <c r="O504" s="516"/>
      <c r="P504" s="516"/>
    </row>
    <row r="505" spans="1:16" x14ac:dyDescent="0.25">
      <c r="A505" s="209">
        <v>1</v>
      </c>
      <c r="B505" s="209">
        <v>2</v>
      </c>
      <c r="C505" s="209">
        <v>3</v>
      </c>
      <c r="D505" s="209">
        <v>4</v>
      </c>
      <c r="E505" s="209">
        <v>5</v>
      </c>
      <c r="F505" s="174">
        <v>6</v>
      </c>
      <c r="G505" s="174">
        <v>7</v>
      </c>
      <c r="H505" s="174">
        <v>9</v>
      </c>
      <c r="I505" s="174">
        <v>10</v>
      </c>
      <c r="J505" s="174">
        <v>11</v>
      </c>
      <c r="K505" s="174">
        <v>12</v>
      </c>
      <c r="L505" s="174">
        <v>13</v>
      </c>
      <c r="M505" s="174">
        <v>14</v>
      </c>
      <c r="N505" s="174">
        <v>15</v>
      </c>
      <c r="O505" s="174">
        <v>16</v>
      </c>
      <c r="P505" s="174">
        <v>17</v>
      </c>
    </row>
    <row r="506" spans="1:16" ht="17.25" customHeight="1" x14ac:dyDescent="0.25">
      <c r="A506" s="517">
        <v>1</v>
      </c>
      <c r="B506" s="520" t="s">
        <v>405</v>
      </c>
      <c r="C506" s="523" t="s">
        <v>1019</v>
      </c>
      <c r="D506" s="526" t="s">
        <v>1020</v>
      </c>
      <c r="E506" s="478" t="s">
        <v>457</v>
      </c>
      <c r="F506" s="529" t="s">
        <v>1021</v>
      </c>
      <c r="G506" s="157" t="s">
        <v>409</v>
      </c>
      <c r="H506" s="210">
        <v>10968</v>
      </c>
      <c r="I506" s="210">
        <v>10968</v>
      </c>
      <c r="J506" s="210">
        <v>10968</v>
      </c>
      <c r="K506" s="210">
        <v>10968</v>
      </c>
      <c r="L506" s="211">
        <v>7850</v>
      </c>
      <c r="M506" s="212">
        <v>0</v>
      </c>
      <c r="N506" s="213">
        <v>0</v>
      </c>
      <c r="O506" s="214">
        <v>0</v>
      </c>
      <c r="P506" s="215">
        <f t="shared" ref="P506:P526" si="168">SUM(H506:O506)</f>
        <v>51722</v>
      </c>
    </row>
    <row r="507" spans="1:16" ht="17.25" customHeight="1" x14ac:dyDescent="0.25">
      <c r="A507" s="518"/>
      <c r="B507" s="521"/>
      <c r="C507" s="524"/>
      <c r="D507" s="527"/>
      <c r="E507" s="479"/>
      <c r="F507" s="530"/>
      <c r="G507" s="159" t="s">
        <v>410</v>
      </c>
      <c r="H507" s="216">
        <f>1218+285</f>
        <v>1503</v>
      </c>
      <c r="I507" s="216">
        <f>1163+563</f>
        <v>1726</v>
      </c>
      <c r="J507" s="216">
        <f>1108+164</f>
        <v>1272</v>
      </c>
      <c r="K507" s="216">
        <f>1056</f>
        <v>1056</v>
      </c>
      <c r="L507" s="217">
        <f>177</f>
        <v>177</v>
      </c>
      <c r="M507" s="216"/>
      <c r="N507" s="218"/>
      <c r="O507" s="216"/>
      <c r="P507" s="215">
        <f t="shared" si="168"/>
        <v>5734</v>
      </c>
    </row>
    <row r="508" spans="1:16" x14ac:dyDescent="0.25">
      <c r="A508" s="519"/>
      <c r="B508" s="522"/>
      <c r="C508" s="525"/>
      <c r="D508" s="528"/>
      <c r="E508" s="480"/>
      <c r="F508" s="531"/>
      <c r="G508" s="161" t="s">
        <v>411</v>
      </c>
      <c r="H508" s="220">
        <f>SUM(H506:H507)</f>
        <v>12471</v>
      </c>
      <c r="I508" s="220">
        <f t="shared" ref="I508:O508" si="169">SUM(I506:I507)</f>
        <v>12694</v>
      </c>
      <c r="J508" s="220">
        <f t="shared" si="169"/>
        <v>12240</v>
      </c>
      <c r="K508" s="220">
        <f t="shared" si="169"/>
        <v>12024</v>
      </c>
      <c r="L508" s="220">
        <f t="shared" si="169"/>
        <v>8027</v>
      </c>
      <c r="M508" s="220">
        <f t="shared" si="169"/>
        <v>0</v>
      </c>
      <c r="N508" s="220">
        <f t="shared" si="169"/>
        <v>0</v>
      </c>
      <c r="O508" s="220">
        <f t="shared" si="169"/>
        <v>0</v>
      </c>
      <c r="P508" s="221">
        <f t="shared" si="168"/>
        <v>57456</v>
      </c>
    </row>
    <row r="509" spans="1:16" x14ac:dyDescent="0.25">
      <c r="A509" s="534">
        <v>2</v>
      </c>
      <c r="B509" s="535" t="s">
        <v>405</v>
      </c>
      <c r="C509" s="544" t="s">
        <v>1022</v>
      </c>
      <c r="D509" s="539" t="s">
        <v>1023</v>
      </c>
      <c r="E509" s="540" t="s">
        <v>1024</v>
      </c>
      <c r="F509" s="543" t="s">
        <v>1025</v>
      </c>
      <c r="G509" s="223" t="s">
        <v>409</v>
      </c>
      <c r="H509" s="224">
        <v>46540</v>
      </c>
      <c r="I509" s="224">
        <v>46540</v>
      </c>
      <c r="J509" s="224">
        <v>46540</v>
      </c>
      <c r="K509" s="224">
        <v>46540</v>
      </c>
      <c r="L509" s="224">
        <v>46540</v>
      </c>
      <c r="M509" s="224">
        <v>46540</v>
      </c>
      <c r="N509" s="224">
        <v>46540</v>
      </c>
      <c r="O509" s="224">
        <f>279240</f>
        <v>279240</v>
      </c>
      <c r="P509" s="215">
        <f t="shared" si="168"/>
        <v>605020</v>
      </c>
    </row>
    <row r="510" spans="1:16" x14ac:dyDescent="0.25">
      <c r="A510" s="518"/>
      <c r="B510" s="521"/>
      <c r="C510" s="545"/>
      <c r="D510" s="527"/>
      <c r="E510" s="541"/>
      <c r="F510" s="530"/>
      <c r="G510" s="159" t="s">
        <v>410</v>
      </c>
      <c r="H510" s="216">
        <f>2211+15886</f>
        <v>18097</v>
      </c>
      <c r="I510" s="216">
        <v>24952</v>
      </c>
      <c r="J510" s="216">
        <v>23636</v>
      </c>
      <c r="K510" s="216">
        <v>21461</v>
      </c>
      <c r="L510" s="216">
        <v>19280</v>
      </c>
      <c r="M510" s="225">
        <v>17142</v>
      </c>
      <c r="N510" s="225">
        <v>14915</v>
      </c>
      <c r="O510" s="216">
        <f>40371</f>
        <v>40371</v>
      </c>
      <c r="P510" s="215">
        <f t="shared" si="168"/>
        <v>179854</v>
      </c>
    </row>
    <row r="511" spans="1:16" x14ac:dyDescent="0.25">
      <c r="A511" s="519"/>
      <c r="B511" s="522"/>
      <c r="C511" s="546"/>
      <c r="D511" s="528"/>
      <c r="E511" s="542"/>
      <c r="F511" s="531"/>
      <c r="G511" s="161" t="s">
        <v>411</v>
      </c>
      <c r="H511" s="220">
        <f t="shared" ref="H511:O511" si="170">SUM(H509:H510)</f>
        <v>64637</v>
      </c>
      <c r="I511" s="220">
        <f t="shared" si="170"/>
        <v>71492</v>
      </c>
      <c r="J511" s="220">
        <f t="shared" si="170"/>
        <v>70176</v>
      </c>
      <c r="K511" s="220">
        <f t="shared" si="170"/>
        <v>68001</v>
      </c>
      <c r="L511" s="220">
        <f t="shared" si="170"/>
        <v>65820</v>
      </c>
      <c r="M511" s="220">
        <f t="shared" si="170"/>
        <v>63682</v>
      </c>
      <c r="N511" s="220">
        <f t="shared" si="170"/>
        <v>61455</v>
      </c>
      <c r="O511" s="220">
        <f t="shared" si="170"/>
        <v>319611</v>
      </c>
      <c r="P511" s="221">
        <f t="shared" si="168"/>
        <v>784874</v>
      </c>
    </row>
    <row r="512" spans="1:16" x14ac:dyDescent="0.25">
      <c r="A512" s="534">
        <v>3</v>
      </c>
      <c r="B512" s="535" t="s">
        <v>405</v>
      </c>
      <c r="C512" s="536" t="s">
        <v>1026</v>
      </c>
      <c r="D512" s="539" t="s">
        <v>1027</v>
      </c>
      <c r="E512" s="540" t="s">
        <v>1028</v>
      </c>
      <c r="F512" s="543" t="s">
        <v>1029</v>
      </c>
      <c r="G512" s="223" t="s">
        <v>409</v>
      </c>
      <c r="H512" s="224">
        <v>12384</v>
      </c>
      <c r="I512" s="224">
        <v>12384</v>
      </c>
      <c r="J512" s="224">
        <v>12384</v>
      </c>
      <c r="K512" s="224">
        <v>12384</v>
      </c>
      <c r="L512" s="224">
        <v>12384</v>
      </c>
      <c r="M512" s="224">
        <v>12384</v>
      </c>
      <c r="N512" s="224">
        <v>12384</v>
      </c>
      <c r="O512" s="224">
        <f>109412</f>
        <v>109412</v>
      </c>
      <c r="P512" s="215">
        <f t="shared" si="168"/>
        <v>196100</v>
      </c>
    </row>
    <row r="513" spans="1:16" x14ac:dyDescent="0.25">
      <c r="A513" s="518"/>
      <c r="B513" s="521"/>
      <c r="C513" s="537"/>
      <c r="D513" s="527"/>
      <c r="E513" s="541"/>
      <c r="F513" s="530"/>
      <c r="G513" s="159" t="s">
        <v>410</v>
      </c>
      <c r="H513" s="216">
        <f>2214+3931</f>
        <v>6145</v>
      </c>
      <c r="I513" s="216">
        <v>8256</v>
      </c>
      <c r="J513" s="216">
        <v>7885</v>
      </c>
      <c r="K513" s="216">
        <v>7305</v>
      </c>
      <c r="L513" s="216">
        <v>6726</v>
      </c>
      <c r="M513" s="225">
        <v>6163</v>
      </c>
      <c r="N513" s="226">
        <v>5565</v>
      </c>
      <c r="O513" s="216">
        <f>24001</f>
        <v>24001</v>
      </c>
      <c r="P513" s="215">
        <f t="shared" si="168"/>
        <v>72046</v>
      </c>
    </row>
    <row r="514" spans="1:16" x14ac:dyDescent="0.25">
      <c r="A514" s="519"/>
      <c r="B514" s="522"/>
      <c r="C514" s="538"/>
      <c r="D514" s="528"/>
      <c r="E514" s="542"/>
      <c r="F514" s="531"/>
      <c r="G514" s="161" t="s">
        <v>411</v>
      </c>
      <c r="H514" s="220">
        <f t="shared" ref="H514:O514" si="171">SUM(H512:H513)</f>
        <v>18529</v>
      </c>
      <c r="I514" s="220">
        <f t="shared" si="171"/>
        <v>20640</v>
      </c>
      <c r="J514" s="220">
        <f t="shared" si="171"/>
        <v>20269</v>
      </c>
      <c r="K514" s="220">
        <f t="shared" si="171"/>
        <v>19689</v>
      </c>
      <c r="L514" s="220">
        <f t="shared" si="171"/>
        <v>19110</v>
      </c>
      <c r="M514" s="220">
        <f t="shared" si="171"/>
        <v>18547</v>
      </c>
      <c r="N514" s="220">
        <f t="shared" si="171"/>
        <v>17949</v>
      </c>
      <c r="O514" s="220">
        <f t="shared" si="171"/>
        <v>133413</v>
      </c>
      <c r="P514" s="221">
        <f t="shared" si="168"/>
        <v>268146</v>
      </c>
    </row>
    <row r="515" spans="1:16" x14ac:dyDescent="0.25">
      <c r="A515" s="534">
        <v>4</v>
      </c>
      <c r="B515" s="535" t="s">
        <v>405</v>
      </c>
      <c r="C515" s="544" t="s">
        <v>1022</v>
      </c>
      <c r="D515" s="539" t="s">
        <v>1030</v>
      </c>
      <c r="E515" s="540" t="s">
        <v>1031</v>
      </c>
      <c r="F515" s="547" t="s">
        <v>1032</v>
      </c>
      <c r="G515" s="223" t="s">
        <v>409</v>
      </c>
      <c r="H515" s="224">
        <v>76356</v>
      </c>
      <c r="I515" s="224">
        <v>76356</v>
      </c>
      <c r="J515" s="224">
        <v>76356</v>
      </c>
      <c r="K515" s="224">
        <v>76356</v>
      </c>
      <c r="L515" s="224">
        <v>76356</v>
      </c>
      <c r="M515" s="224">
        <v>76356</v>
      </c>
      <c r="N515" s="224">
        <v>76356</v>
      </c>
      <c r="O515" s="224">
        <v>725382</v>
      </c>
      <c r="P515" s="215">
        <f t="shared" si="168"/>
        <v>1259874</v>
      </c>
    </row>
    <row r="516" spans="1:16" x14ac:dyDescent="0.25">
      <c r="A516" s="518"/>
      <c r="B516" s="521"/>
      <c r="C516" s="545"/>
      <c r="D516" s="527"/>
      <c r="E516" s="541"/>
      <c r="F516" s="548"/>
      <c r="G516" s="159" t="s">
        <v>410</v>
      </c>
      <c r="H516" s="216">
        <f>7349+20618</f>
        <v>27967</v>
      </c>
      <c r="I516" s="216">
        <v>55446</v>
      </c>
      <c r="J516" s="216">
        <v>51294</v>
      </c>
      <c r="K516" s="216">
        <v>47725</v>
      </c>
      <c r="L516" s="216">
        <v>44147</v>
      </c>
      <c r="M516" s="225">
        <v>40674</v>
      </c>
      <c r="N516" s="225">
        <v>36986</v>
      </c>
      <c r="O516" s="216">
        <v>173368</v>
      </c>
      <c r="P516" s="215">
        <f t="shared" si="168"/>
        <v>477607</v>
      </c>
    </row>
    <row r="517" spans="1:16" x14ac:dyDescent="0.25">
      <c r="A517" s="519"/>
      <c r="B517" s="522"/>
      <c r="C517" s="546"/>
      <c r="D517" s="528"/>
      <c r="E517" s="542"/>
      <c r="F517" s="549"/>
      <c r="G517" s="161" t="s">
        <v>411</v>
      </c>
      <c r="H517" s="220">
        <f t="shared" ref="H517:O517" si="172">SUM(H515:H516)</f>
        <v>104323</v>
      </c>
      <c r="I517" s="220">
        <f t="shared" si="172"/>
        <v>131802</v>
      </c>
      <c r="J517" s="220">
        <f t="shared" si="172"/>
        <v>127650</v>
      </c>
      <c r="K517" s="220">
        <f t="shared" si="172"/>
        <v>124081</v>
      </c>
      <c r="L517" s="220">
        <f t="shared" si="172"/>
        <v>120503</v>
      </c>
      <c r="M517" s="220">
        <f t="shared" si="172"/>
        <v>117030</v>
      </c>
      <c r="N517" s="220">
        <f t="shared" si="172"/>
        <v>113342</v>
      </c>
      <c r="O517" s="220">
        <f t="shared" si="172"/>
        <v>898750</v>
      </c>
      <c r="P517" s="221">
        <f t="shared" si="168"/>
        <v>1737481</v>
      </c>
    </row>
    <row r="518" spans="1:16" x14ac:dyDescent="0.25">
      <c r="A518" s="534">
        <v>5</v>
      </c>
      <c r="B518" s="535" t="s">
        <v>405</v>
      </c>
      <c r="C518" s="544" t="s">
        <v>1033</v>
      </c>
      <c r="D518" s="539" t="s">
        <v>1034</v>
      </c>
      <c r="E518" s="540" t="s">
        <v>1035</v>
      </c>
      <c r="F518" s="543" t="s">
        <v>1036</v>
      </c>
      <c r="G518" s="223" t="s">
        <v>409</v>
      </c>
      <c r="H518" s="224">
        <v>26380</v>
      </c>
      <c r="I518" s="224">
        <v>26380</v>
      </c>
      <c r="J518" s="224">
        <v>26380</v>
      </c>
      <c r="K518" s="224">
        <v>19785</v>
      </c>
      <c r="L518" s="224">
        <v>0</v>
      </c>
      <c r="M518" s="227">
        <v>0</v>
      </c>
      <c r="N518" s="222">
        <v>0</v>
      </c>
      <c r="O518" s="224">
        <v>0</v>
      </c>
      <c r="P518" s="215">
        <f t="shared" si="168"/>
        <v>98925</v>
      </c>
    </row>
    <row r="519" spans="1:16" x14ac:dyDescent="0.25">
      <c r="A519" s="518"/>
      <c r="B519" s="521"/>
      <c r="C519" s="545"/>
      <c r="D519" s="527"/>
      <c r="E519" s="541"/>
      <c r="F519" s="530"/>
      <c r="G519" s="159" t="s">
        <v>410</v>
      </c>
      <c r="H519" s="217">
        <v>346</v>
      </c>
      <c r="I519" s="216">
        <v>348</v>
      </c>
      <c r="J519" s="216">
        <v>213</v>
      </c>
      <c r="K519" s="216">
        <v>77</v>
      </c>
      <c r="L519" s="216"/>
      <c r="M519" s="225"/>
      <c r="N519" s="228"/>
      <c r="O519" s="216"/>
      <c r="P519" s="215">
        <f t="shared" si="168"/>
        <v>984</v>
      </c>
    </row>
    <row r="520" spans="1:16" x14ac:dyDescent="0.25">
      <c r="A520" s="519"/>
      <c r="B520" s="522"/>
      <c r="C520" s="546"/>
      <c r="D520" s="528"/>
      <c r="E520" s="542"/>
      <c r="F520" s="531"/>
      <c r="G520" s="161" t="s">
        <v>411</v>
      </c>
      <c r="H520" s="220">
        <f t="shared" ref="H520:O520" si="173">SUM(H518:H519)</f>
        <v>26726</v>
      </c>
      <c r="I520" s="220">
        <f t="shared" si="173"/>
        <v>26728</v>
      </c>
      <c r="J520" s="220">
        <f t="shared" si="173"/>
        <v>26593</v>
      </c>
      <c r="K520" s="220">
        <f t="shared" si="173"/>
        <v>19862</v>
      </c>
      <c r="L520" s="220">
        <f t="shared" si="173"/>
        <v>0</v>
      </c>
      <c r="M520" s="220">
        <f t="shared" si="173"/>
        <v>0</v>
      </c>
      <c r="N520" s="220">
        <f t="shared" si="173"/>
        <v>0</v>
      </c>
      <c r="O520" s="220">
        <f t="shared" si="173"/>
        <v>0</v>
      </c>
      <c r="P520" s="221">
        <f t="shared" si="168"/>
        <v>99909</v>
      </c>
    </row>
    <row r="521" spans="1:16" x14ac:dyDescent="0.25">
      <c r="A521" s="534">
        <v>6</v>
      </c>
      <c r="B521" s="535" t="s">
        <v>405</v>
      </c>
      <c r="C521" s="544" t="s">
        <v>1037</v>
      </c>
      <c r="D521" s="539" t="s">
        <v>1038</v>
      </c>
      <c r="E521" s="540" t="s">
        <v>753</v>
      </c>
      <c r="F521" s="543" t="s">
        <v>1039</v>
      </c>
      <c r="G521" s="223" t="s">
        <v>409</v>
      </c>
      <c r="H521" s="224">
        <v>52732</v>
      </c>
      <c r="I521" s="224">
        <v>52732</v>
      </c>
      <c r="J521" s="224">
        <v>52732</v>
      </c>
      <c r="K521" s="224">
        <v>52732</v>
      </c>
      <c r="L521" s="224">
        <v>52732</v>
      </c>
      <c r="M521" s="224">
        <v>52732</v>
      </c>
      <c r="N521" s="224">
        <v>52732</v>
      </c>
      <c r="O521" s="224">
        <f>237097</f>
        <v>237097</v>
      </c>
      <c r="P521" s="215">
        <f t="shared" si="168"/>
        <v>606221</v>
      </c>
    </row>
    <row r="522" spans="1:16" x14ac:dyDescent="0.25">
      <c r="A522" s="518"/>
      <c r="B522" s="521"/>
      <c r="C522" s="545"/>
      <c r="D522" s="527"/>
      <c r="E522" s="541"/>
      <c r="F522" s="530"/>
      <c r="G522" s="159" t="s">
        <v>410</v>
      </c>
      <c r="H522" s="217">
        <v>2910</v>
      </c>
      <c r="I522" s="216">
        <v>8728</v>
      </c>
      <c r="J522" s="216">
        <v>21714</v>
      </c>
      <c r="K522" s="216">
        <v>19394</v>
      </c>
      <c r="L522" s="216">
        <v>17068</v>
      </c>
      <c r="M522" s="225">
        <v>14778</v>
      </c>
      <c r="N522" s="225">
        <v>12412</v>
      </c>
      <c r="O522" s="216">
        <f>24478</f>
        <v>24478</v>
      </c>
      <c r="P522" s="215">
        <f t="shared" si="168"/>
        <v>121482</v>
      </c>
    </row>
    <row r="523" spans="1:16" x14ac:dyDescent="0.25">
      <c r="A523" s="519"/>
      <c r="B523" s="522"/>
      <c r="C523" s="546"/>
      <c r="D523" s="528"/>
      <c r="E523" s="542"/>
      <c r="F523" s="531"/>
      <c r="G523" s="161" t="s">
        <v>411</v>
      </c>
      <c r="H523" s="220">
        <f t="shared" ref="H523:O523" si="174">SUM(H521:H522)</f>
        <v>55642</v>
      </c>
      <c r="I523" s="220">
        <f t="shared" si="174"/>
        <v>61460</v>
      </c>
      <c r="J523" s="220">
        <f t="shared" si="174"/>
        <v>74446</v>
      </c>
      <c r="K523" s="220">
        <f t="shared" si="174"/>
        <v>72126</v>
      </c>
      <c r="L523" s="220">
        <f t="shared" si="174"/>
        <v>69800</v>
      </c>
      <c r="M523" s="220">
        <f t="shared" si="174"/>
        <v>67510</v>
      </c>
      <c r="N523" s="220">
        <f t="shared" si="174"/>
        <v>65144</v>
      </c>
      <c r="O523" s="220">
        <f t="shared" si="174"/>
        <v>261575</v>
      </c>
      <c r="P523" s="221">
        <f t="shared" si="168"/>
        <v>727703</v>
      </c>
    </row>
    <row r="524" spans="1:16" x14ac:dyDescent="0.25">
      <c r="A524" s="534">
        <v>7</v>
      </c>
      <c r="B524" s="535" t="s">
        <v>405</v>
      </c>
      <c r="C524" s="550" t="s">
        <v>1040</v>
      </c>
      <c r="D524" s="539" t="s">
        <v>885</v>
      </c>
      <c r="E524" s="553" t="s">
        <v>876</v>
      </c>
      <c r="F524" s="556" t="s">
        <v>1041</v>
      </c>
      <c r="G524" s="223" t="s">
        <v>409</v>
      </c>
      <c r="H524" s="224">
        <v>11492</v>
      </c>
      <c r="I524" s="224">
        <v>11492</v>
      </c>
      <c r="J524" s="224">
        <v>11492</v>
      </c>
      <c r="K524" s="224">
        <v>11492</v>
      </c>
      <c r="L524" s="224">
        <v>11492</v>
      </c>
      <c r="M524" s="224">
        <v>11492</v>
      </c>
      <c r="N524" s="224">
        <v>11492</v>
      </c>
      <c r="O524" s="224">
        <v>135031</v>
      </c>
      <c r="P524" s="215">
        <f t="shared" si="168"/>
        <v>215475</v>
      </c>
    </row>
    <row r="525" spans="1:16" x14ac:dyDescent="0.25">
      <c r="A525" s="518"/>
      <c r="B525" s="521"/>
      <c r="C525" s="551"/>
      <c r="D525" s="527"/>
      <c r="E525" s="554"/>
      <c r="F525" s="557"/>
      <c r="G525" s="159" t="s">
        <v>410</v>
      </c>
      <c r="H525" s="217">
        <v>6054</v>
      </c>
      <c r="I525" s="216">
        <v>9616</v>
      </c>
      <c r="J525" s="216">
        <v>9117</v>
      </c>
      <c r="K525" s="216">
        <v>8568</v>
      </c>
      <c r="L525" s="216">
        <v>8019</v>
      </c>
      <c r="M525" s="225">
        <v>7488</v>
      </c>
      <c r="N525" s="225">
        <v>6918</v>
      </c>
      <c r="O525" s="216">
        <f>40202</f>
        <v>40202</v>
      </c>
      <c r="P525" s="215">
        <f t="shared" si="168"/>
        <v>95982</v>
      </c>
    </row>
    <row r="526" spans="1:16" x14ac:dyDescent="0.25">
      <c r="A526" s="519"/>
      <c r="B526" s="522"/>
      <c r="C526" s="552"/>
      <c r="D526" s="528"/>
      <c r="E526" s="555"/>
      <c r="F526" s="558"/>
      <c r="G526" s="161" t="s">
        <v>411</v>
      </c>
      <c r="H526" s="220">
        <f t="shared" ref="H526:O526" si="175">SUM(H524:H525)</f>
        <v>17546</v>
      </c>
      <c r="I526" s="220">
        <f t="shared" si="175"/>
        <v>21108</v>
      </c>
      <c r="J526" s="220">
        <f t="shared" si="175"/>
        <v>20609</v>
      </c>
      <c r="K526" s="220">
        <f t="shared" si="175"/>
        <v>20060</v>
      </c>
      <c r="L526" s="220">
        <f t="shared" si="175"/>
        <v>19511</v>
      </c>
      <c r="M526" s="220">
        <f t="shared" si="175"/>
        <v>18980</v>
      </c>
      <c r="N526" s="220">
        <f t="shared" si="175"/>
        <v>18410</v>
      </c>
      <c r="O526" s="220">
        <f t="shared" si="175"/>
        <v>175233</v>
      </c>
      <c r="P526" s="221">
        <f t="shared" si="168"/>
        <v>311457</v>
      </c>
    </row>
    <row r="527" spans="1:16" x14ac:dyDescent="0.25">
      <c r="A527" s="565"/>
      <c r="B527" s="568"/>
      <c r="C527" s="571" t="s">
        <v>1042</v>
      </c>
      <c r="D527" s="539"/>
      <c r="E527" s="574"/>
      <c r="F527" s="577"/>
      <c r="G527" s="229" t="s">
        <v>409</v>
      </c>
      <c r="H527" s="224">
        <f>H506+H509+H512+H515+H518+H521+H524</f>
        <v>236852</v>
      </c>
      <c r="I527" s="224">
        <f t="shared" ref="I527:O529" si="176">I506+I509+I512+I515+I518+I521+I524</f>
        <v>236852</v>
      </c>
      <c r="J527" s="224">
        <f t="shared" si="176"/>
        <v>236852</v>
      </c>
      <c r="K527" s="224">
        <f t="shared" si="176"/>
        <v>230257</v>
      </c>
      <c r="L527" s="224">
        <f t="shared" si="176"/>
        <v>207354</v>
      </c>
      <c r="M527" s="224">
        <f t="shared" si="176"/>
        <v>199504</v>
      </c>
      <c r="N527" s="224">
        <f t="shared" si="176"/>
        <v>199504</v>
      </c>
      <c r="O527" s="224">
        <f t="shared" si="176"/>
        <v>1486162</v>
      </c>
      <c r="P527" s="224">
        <f>P506+P509+P512+P515+P518+P521+P524</f>
        <v>3033337</v>
      </c>
    </row>
    <row r="528" spans="1:16" x14ac:dyDescent="0.25">
      <c r="A528" s="566"/>
      <c r="B528" s="569"/>
      <c r="C528" s="572"/>
      <c r="D528" s="527"/>
      <c r="E528" s="575"/>
      <c r="F528" s="578"/>
      <c r="G528" s="205" t="s">
        <v>410</v>
      </c>
      <c r="H528" s="216">
        <f>H507+H510+H513+H516+H519+H522+H525</f>
        <v>63022</v>
      </c>
      <c r="I528" s="216">
        <f t="shared" si="176"/>
        <v>109072</v>
      </c>
      <c r="J528" s="216">
        <f t="shared" si="176"/>
        <v>115131</v>
      </c>
      <c r="K528" s="216">
        <f t="shared" si="176"/>
        <v>105586</v>
      </c>
      <c r="L528" s="216">
        <f t="shared" si="176"/>
        <v>95417</v>
      </c>
      <c r="M528" s="216">
        <f t="shared" si="176"/>
        <v>86245</v>
      </c>
      <c r="N528" s="216">
        <f t="shared" si="176"/>
        <v>76796</v>
      </c>
      <c r="O528" s="216">
        <f t="shared" si="176"/>
        <v>302420</v>
      </c>
      <c r="P528" s="216">
        <f>P507+P510+P513+P516+P519+P522+P525</f>
        <v>953689</v>
      </c>
    </row>
    <row r="529" spans="1:16" x14ac:dyDescent="0.25">
      <c r="A529" s="567"/>
      <c r="B529" s="570"/>
      <c r="C529" s="573"/>
      <c r="D529" s="528"/>
      <c r="E529" s="576"/>
      <c r="F529" s="579"/>
      <c r="G529" s="206" t="s">
        <v>411</v>
      </c>
      <c r="H529" s="232">
        <f>H508+H511+H514+H517+H520+H523+H526</f>
        <v>299874</v>
      </c>
      <c r="I529" s="232">
        <f t="shared" si="176"/>
        <v>345924</v>
      </c>
      <c r="J529" s="232">
        <f t="shared" si="176"/>
        <v>351983</v>
      </c>
      <c r="K529" s="232">
        <f t="shared" si="176"/>
        <v>335843</v>
      </c>
      <c r="L529" s="232">
        <f t="shared" si="176"/>
        <v>302771</v>
      </c>
      <c r="M529" s="232">
        <f t="shared" si="176"/>
        <v>285749</v>
      </c>
      <c r="N529" s="232">
        <f t="shared" si="176"/>
        <v>276300</v>
      </c>
      <c r="O529" s="232">
        <f t="shared" si="176"/>
        <v>1788582</v>
      </c>
      <c r="P529" s="232">
        <f>P508+P511+P514+P517+P520+P523+P526</f>
        <v>3987026</v>
      </c>
    </row>
    <row r="530" spans="1:16" x14ac:dyDescent="0.25">
      <c r="A530" s="148"/>
      <c r="B530" s="559"/>
      <c r="C530" s="559"/>
      <c r="D530" s="559"/>
      <c r="E530" s="559"/>
      <c r="F530" s="233"/>
      <c r="G530" s="148"/>
      <c r="H530" s="234"/>
      <c r="I530" s="234"/>
      <c r="J530" s="234"/>
      <c r="K530" s="234"/>
      <c r="L530" s="234"/>
      <c r="M530" s="235"/>
      <c r="N530" s="235"/>
      <c r="O530" s="234"/>
      <c r="P530" s="234"/>
    </row>
    <row r="532" spans="1:16" ht="17.25" customHeight="1" x14ac:dyDescent="0.25">
      <c r="A532" s="560" t="s">
        <v>1043</v>
      </c>
      <c r="B532" s="560"/>
      <c r="C532" s="560"/>
      <c r="D532" s="560"/>
      <c r="E532" s="560"/>
      <c r="F532" s="560"/>
      <c r="G532" s="560"/>
      <c r="H532" s="207">
        <f t="shared" ref="H532:P532" si="177">H503+H529</f>
        <v>5897608</v>
      </c>
      <c r="I532" s="207">
        <f t="shared" si="177"/>
        <v>7944816</v>
      </c>
      <c r="J532" s="207">
        <f t="shared" si="177"/>
        <v>8404131</v>
      </c>
      <c r="K532" s="207">
        <f t="shared" si="177"/>
        <v>8130435</v>
      </c>
      <c r="L532" s="207">
        <f t="shared" si="177"/>
        <v>7781616</v>
      </c>
      <c r="M532" s="207">
        <f t="shared" si="177"/>
        <v>7284106</v>
      </c>
      <c r="N532" s="207">
        <f t="shared" si="177"/>
        <v>6736769.0999999996</v>
      </c>
      <c r="O532" s="207">
        <f t="shared" si="177"/>
        <v>66575395</v>
      </c>
      <c r="P532" s="207">
        <f t="shared" si="177"/>
        <v>118754876.09999999</v>
      </c>
    </row>
    <row r="534" spans="1:16" ht="13.15" customHeight="1" x14ac:dyDescent="0.25">
      <c r="B534" s="561" t="s">
        <v>1044</v>
      </c>
      <c r="C534" s="562"/>
      <c r="D534" s="562"/>
      <c r="E534" s="562"/>
      <c r="F534" s="562"/>
      <c r="G534" s="563"/>
      <c r="H534" s="236">
        <f>H532*100/($P$535)</f>
        <v>7.5712374604438173</v>
      </c>
      <c r="I534" s="236">
        <f t="shared" ref="I534:N534" si="178">I532*100/($P$535)</f>
        <v>10.19940432045219</v>
      </c>
      <c r="J534" s="236">
        <f t="shared" si="178"/>
        <v>10.789064218862487</v>
      </c>
      <c r="K534" s="236">
        <f t="shared" si="178"/>
        <v>10.437698477366336</v>
      </c>
      <c r="L534" s="236">
        <f t="shared" si="178"/>
        <v>9.9898912511630087</v>
      </c>
      <c r="M534" s="236">
        <f t="shared" si="178"/>
        <v>9.3511973350964617</v>
      </c>
      <c r="N534" s="236">
        <f t="shared" si="178"/>
        <v>8.6485365884406651</v>
      </c>
      <c r="O534" s="148"/>
      <c r="P534" s="148"/>
    </row>
    <row r="535" spans="1:16" ht="16.149999999999999" customHeight="1" x14ac:dyDescent="0.25">
      <c r="B535" s="564" t="s">
        <v>1045</v>
      </c>
      <c r="C535" s="564"/>
      <c r="D535" s="564"/>
      <c r="E535" s="564"/>
      <c r="P535" s="237">
        <f>105532824-27637922</f>
        <v>77894902</v>
      </c>
    </row>
    <row r="536" spans="1:16" ht="16.149999999999999" customHeight="1" x14ac:dyDescent="0.25">
      <c r="B536" s="238"/>
      <c r="C536" s="238"/>
      <c r="D536" s="238"/>
      <c r="E536" s="238"/>
    </row>
  </sheetData>
  <mergeCells count="880">
    <mergeCell ref="B530:E530"/>
    <mergeCell ref="A532:G532"/>
    <mergeCell ref="B534:G534"/>
    <mergeCell ref="B535:E535"/>
    <mergeCell ref="A527:A529"/>
    <mergeCell ref="B527:B529"/>
    <mergeCell ref="C527:C529"/>
    <mergeCell ref="D527:D529"/>
    <mergeCell ref="E527:E529"/>
    <mergeCell ref="F527:F529"/>
    <mergeCell ref="A524:A526"/>
    <mergeCell ref="B524:B526"/>
    <mergeCell ref="C524:C526"/>
    <mergeCell ref="D524:D526"/>
    <mergeCell ref="E524:E526"/>
    <mergeCell ref="F524:F526"/>
    <mergeCell ref="A521:A523"/>
    <mergeCell ref="B521:B523"/>
    <mergeCell ref="C521:C523"/>
    <mergeCell ref="D521:D523"/>
    <mergeCell ref="E521:E523"/>
    <mergeCell ref="F521:F523"/>
    <mergeCell ref="A518:A520"/>
    <mergeCell ref="B518:B520"/>
    <mergeCell ref="C518:C520"/>
    <mergeCell ref="D518:D520"/>
    <mergeCell ref="E518:E520"/>
    <mergeCell ref="F518:F520"/>
    <mergeCell ref="A515:A517"/>
    <mergeCell ref="B515:B517"/>
    <mergeCell ref="C515:C517"/>
    <mergeCell ref="D515:D517"/>
    <mergeCell ref="E515:E517"/>
    <mergeCell ref="F515:F517"/>
    <mergeCell ref="A512:A514"/>
    <mergeCell ref="B512:B514"/>
    <mergeCell ref="C512:C514"/>
    <mergeCell ref="D512:D514"/>
    <mergeCell ref="E512:E514"/>
    <mergeCell ref="F512:F514"/>
    <mergeCell ref="A509:A511"/>
    <mergeCell ref="B509:B511"/>
    <mergeCell ref="C509:C511"/>
    <mergeCell ref="D509:D511"/>
    <mergeCell ref="E509:E511"/>
    <mergeCell ref="F509:F511"/>
    <mergeCell ref="A495:A497"/>
    <mergeCell ref="B495:B497"/>
    <mergeCell ref="C495:C497"/>
    <mergeCell ref="D495:D497"/>
    <mergeCell ref="E495:E497"/>
    <mergeCell ref="F501:F503"/>
    <mergeCell ref="A504:P504"/>
    <mergeCell ref="A506:A508"/>
    <mergeCell ref="B506:B508"/>
    <mergeCell ref="C506:C508"/>
    <mergeCell ref="D506:D508"/>
    <mergeCell ref="E506:E508"/>
    <mergeCell ref="F506:F508"/>
    <mergeCell ref="A498:A500"/>
    <mergeCell ref="B498:B500"/>
    <mergeCell ref="C498:C500"/>
    <mergeCell ref="D498:D500"/>
    <mergeCell ref="E498:E500"/>
    <mergeCell ref="A501:A503"/>
    <mergeCell ref="B501:B503"/>
    <mergeCell ref="C501:C503"/>
    <mergeCell ref="D501:D503"/>
    <mergeCell ref="E501:E503"/>
    <mergeCell ref="A489:A491"/>
    <mergeCell ref="B489:B491"/>
    <mergeCell ref="C489:C491"/>
    <mergeCell ref="D489:D491"/>
    <mergeCell ref="E489:E491"/>
    <mergeCell ref="A492:A494"/>
    <mergeCell ref="B492:B494"/>
    <mergeCell ref="C492:C494"/>
    <mergeCell ref="D492:D494"/>
    <mergeCell ref="E492:E494"/>
    <mergeCell ref="A483:A485"/>
    <mergeCell ref="B483:B485"/>
    <mergeCell ref="C483:C485"/>
    <mergeCell ref="D483:D485"/>
    <mergeCell ref="E483:E485"/>
    <mergeCell ref="A486:A488"/>
    <mergeCell ref="B486:B488"/>
    <mergeCell ref="C486:C488"/>
    <mergeCell ref="D486:D488"/>
    <mergeCell ref="E486:E488"/>
    <mergeCell ref="A477:A479"/>
    <mergeCell ref="B477:B479"/>
    <mergeCell ref="C477:C479"/>
    <mergeCell ref="D477:D479"/>
    <mergeCell ref="E477:E479"/>
    <mergeCell ref="A480:A482"/>
    <mergeCell ref="B480:B482"/>
    <mergeCell ref="C480:C482"/>
    <mergeCell ref="D480:D482"/>
    <mergeCell ref="E480:E482"/>
    <mergeCell ref="A471:A473"/>
    <mergeCell ref="B471:B473"/>
    <mergeCell ref="C471:C473"/>
    <mergeCell ref="D471:D473"/>
    <mergeCell ref="E471:E473"/>
    <mergeCell ref="A474:A476"/>
    <mergeCell ref="B474:B476"/>
    <mergeCell ref="C474:C476"/>
    <mergeCell ref="D474:D476"/>
    <mergeCell ref="E474:E476"/>
    <mergeCell ref="A465:A467"/>
    <mergeCell ref="B465:B467"/>
    <mergeCell ref="C465:C467"/>
    <mergeCell ref="D465:D467"/>
    <mergeCell ref="E465:E467"/>
    <mergeCell ref="A468:A470"/>
    <mergeCell ref="B468:B470"/>
    <mergeCell ref="C468:C470"/>
    <mergeCell ref="D468:D470"/>
    <mergeCell ref="E468:E470"/>
    <mergeCell ref="A459:A461"/>
    <mergeCell ref="B459:B461"/>
    <mergeCell ref="C459:C461"/>
    <mergeCell ref="D459:D461"/>
    <mergeCell ref="E459:E461"/>
    <mergeCell ref="A462:A464"/>
    <mergeCell ref="B462:B464"/>
    <mergeCell ref="C462:C464"/>
    <mergeCell ref="D462:D464"/>
    <mergeCell ref="E462:E464"/>
    <mergeCell ref="A453:A455"/>
    <mergeCell ref="B453:B455"/>
    <mergeCell ref="C453:C455"/>
    <mergeCell ref="D453:D455"/>
    <mergeCell ref="E453:E455"/>
    <mergeCell ref="A456:A458"/>
    <mergeCell ref="B456:B458"/>
    <mergeCell ref="C456:C458"/>
    <mergeCell ref="D456:D458"/>
    <mergeCell ref="E456:E458"/>
    <mergeCell ref="A447:A449"/>
    <mergeCell ref="B447:B449"/>
    <mergeCell ref="C447:C449"/>
    <mergeCell ref="D447:D449"/>
    <mergeCell ref="E447:E449"/>
    <mergeCell ref="A450:A452"/>
    <mergeCell ref="B450:B452"/>
    <mergeCell ref="C450:C452"/>
    <mergeCell ref="D450:D452"/>
    <mergeCell ref="E450:E452"/>
    <mergeCell ref="A441:A443"/>
    <mergeCell ref="B441:B443"/>
    <mergeCell ref="C441:C443"/>
    <mergeCell ref="D441:D443"/>
    <mergeCell ref="E441:E443"/>
    <mergeCell ref="A444:A446"/>
    <mergeCell ref="B444:B446"/>
    <mergeCell ref="C444:C446"/>
    <mergeCell ref="D444:D446"/>
    <mergeCell ref="E444:E446"/>
    <mergeCell ref="A435:A437"/>
    <mergeCell ref="B435:B437"/>
    <mergeCell ref="C435:C437"/>
    <mergeCell ref="D435:D437"/>
    <mergeCell ref="E435:E437"/>
    <mergeCell ref="A438:A440"/>
    <mergeCell ref="B438:B440"/>
    <mergeCell ref="C438:C440"/>
    <mergeCell ref="D438:D440"/>
    <mergeCell ref="E438:E440"/>
    <mergeCell ref="A429:A431"/>
    <mergeCell ref="B429:B431"/>
    <mergeCell ref="C429:C431"/>
    <mergeCell ref="D429:D431"/>
    <mergeCell ref="E429:E431"/>
    <mergeCell ref="A432:A434"/>
    <mergeCell ref="B432:B434"/>
    <mergeCell ref="C432:C434"/>
    <mergeCell ref="D432:D434"/>
    <mergeCell ref="E432:E434"/>
    <mergeCell ref="A423:A425"/>
    <mergeCell ref="B423:B425"/>
    <mergeCell ref="C423:C425"/>
    <mergeCell ref="D423:D425"/>
    <mergeCell ref="E423:E425"/>
    <mergeCell ref="A426:A428"/>
    <mergeCell ref="B426:B428"/>
    <mergeCell ref="C426:C428"/>
    <mergeCell ref="D426:D428"/>
    <mergeCell ref="E426:E428"/>
    <mergeCell ref="A417:A419"/>
    <mergeCell ref="B417:B419"/>
    <mergeCell ref="C417:C419"/>
    <mergeCell ref="D417:D419"/>
    <mergeCell ref="E417:E419"/>
    <mergeCell ref="A420:A422"/>
    <mergeCell ref="B420:B422"/>
    <mergeCell ref="C420:C422"/>
    <mergeCell ref="D420:D422"/>
    <mergeCell ref="E420:E422"/>
    <mergeCell ref="A411:A413"/>
    <mergeCell ref="B411:B413"/>
    <mergeCell ref="C411:C413"/>
    <mergeCell ref="D411:D413"/>
    <mergeCell ref="E411:E413"/>
    <mergeCell ref="A414:A416"/>
    <mergeCell ref="B414:B416"/>
    <mergeCell ref="C414:C416"/>
    <mergeCell ref="D414:D416"/>
    <mergeCell ref="E414:E416"/>
    <mergeCell ref="A405:A407"/>
    <mergeCell ref="B405:B407"/>
    <mergeCell ref="C405:C407"/>
    <mergeCell ref="D405:D407"/>
    <mergeCell ref="E405:E407"/>
    <mergeCell ref="A408:A410"/>
    <mergeCell ref="B408:B410"/>
    <mergeCell ref="C408:C410"/>
    <mergeCell ref="D408:D410"/>
    <mergeCell ref="E408:E410"/>
    <mergeCell ref="A399:A401"/>
    <mergeCell ref="B399:B401"/>
    <mergeCell ref="C399:C401"/>
    <mergeCell ref="D399:D401"/>
    <mergeCell ref="E399:E401"/>
    <mergeCell ref="A402:A404"/>
    <mergeCell ref="B402:B404"/>
    <mergeCell ref="C402:C404"/>
    <mergeCell ref="D402:D404"/>
    <mergeCell ref="E402:E404"/>
    <mergeCell ref="A393:A395"/>
    <mergeCell ref="B393:B395"/>
    <mergeCell ref="C393:C395"/>
    <mergeCell ref="D393:D395"/>
    <mergeCell ref="E393:E395"/>
    <mergeCell ref="A396:A398"/>
    <mergeCell ref="B396:B398"/>
    <mergeCell ref="C396:C398"/>
    <mergeCell ref="D396:D398"/>
    <mergeCell ref="E396:E398"/>
    <mergeCell ref="A387:A389"/>
    <mergeCell ref="B387:B389"/>
    <mergeCell ref="C387:C389"/>
    <mergeCell ref="D387:D389"/>
    <mergeCell ref="E387:E389"/>
    <mergeCell ref="A390:A392"/>
    <mergeCell ref="B390:B392"/>
    <mergeCell ref="C390:C392"/>
    <mergeCell ref="D390:D392"/>
    <mergeCell ref="E390:E392"/>
    <mergeCell ref="A381:A383"/>
    <mergeCell ref="B381:B383"/>
    <mergeCell ref="C381:C383"/>
    <mergeCell ref="D381:D383"/>
    <mergeCell ref="E381:E383"/>
    <mergeCell ref="A384:A386"/>
    <mergeCell ref="B384:B386"/>
    <mergeCell ref="C384:C386"/>
    <mergeCell ref="D384:D386"/>
    <mergeCell ref="E384:E386"/>
    <mergeCell ref="A375:A377"/>
    <mergeCell ref="B375:B377"/>
    <mergeCell ref="C375:C377"/>
    <mergeCell ref="D375:D377"/>
    <mergeCell ref="E375:E377"/>
    <mergeCell ref="A378:A380"/>
    <mergeCell ref="B378:B380"/>
    <mergeCell ref="C378:C380"/>
    <mergeCell ref="D378:D380"/>
    <mergeCell ref="E378:E380"/>
    <mergeCell ref="A369:A371"/>
    <mergeCell ref="B369:B371"/>
    <mergeCell ref="C369:C371"/>
    <mergeCell ref="D369:D371"/>
    <mergeCell ref="E369:E371"/>
    <mergeCell ref="A372:A374"/>
    <mergeCell ref="B372:B374"/>
    <mergeCell ref="C372:C374"/>
    <mergeCell ref="D372:D374"/>
    <mergeCell ref="E372:E374"/>
    <mergeCell ref="A363:A365"/>
    <mergeCell ref="B363:B365"/>
    <mergeCell ref="C363:C365"/>
    <mergeCell ref="D363:D365"/>
    <mergeCell ref="E363:E365"/>
    <mergeCell ref="A366:A368"/>
    <mergeCell ref="B366:B368"/>
    <mergeCell ref="C366:C368"/>
    <mergeCell ref="D366:D368"/>
    <mergeCell ref="E366:E368"/>
    <mergeCell ref="A357:A359"/>
    <mergeCell ref="B357:B359"/>
    <mergeCell ref="C357:C359"/>
    <mergeCell ref="D357:D359"/>
    <mergeCell ref="E357:E359"/>
    <mergeCell ref="A360:A362"/>
    <mergeCell ref="B360:B362"/>
    <mergeCell ref="C360:C362"/>
    <mergeCell ref="D360:D362"/>
    <mergeCell ref="E360:E362"/>
    <mergeCell ref="A351:A353"/>
    <mergeCell ref="B351:B353"/>
    <mergeCell ref="C351:C353"/>
    <mergeCell ref="D351:D353"/>
    <mergeCell ref="E351:E353"/>
    <mergeCell ref="A354:A356"/>
    <mergeCell ref="B354:B356"/>
    <mergeCell ref="C354:C356"/>
    <mergeCell ref="D354:D356"/>
    <mergeCell ref="E354:E356"/>
    <mergeCell ref="A345:A347"/>
    <mergeCell ref="B345:B347"/>
    <mergeCell ref="C345:C347"/>
    <mergeCell ref="D345:D347"/>
    <mergeCell ref="E345:E347"/>
    <mergeCell ref="A348:A350"/>
    <mergeCell ref="B348:B350"/>
    <mergeCell ref="C348:C350"/>
    <mergeCell ref="D348:D350"/>
    <mergeCell ref="E348:E350"/>
    <mergeCell ref="A339:A341"/>
    <mergeCell ref="B339:B341"/>
    <mergeCell ref="C339:C341"/>
    <mergeCell ref="D339:D341"/>
    <mergeCell ref="E339:E341"/>
    <mergeCell ref="A342:A344"/>
    <mergeCell ref="B342:B344"/>
    <mergeCell ref="C342:C344"/>
    <mergeCell ref="D342:D344"/>
    <mergeCell ref="E342:E344"/>
    <mergeCell ref="A333:A335"/>
    <mergeCell ref="B333:B335"/>
    <mergeCell ref="C333:C335"/>
    <mergeCell ref="D333:D335"/>
    <mergeCell ref="E333:E335"/>
    <mergeCell ref="A336:A338"/>
    <mergeCell ref="B336:B338"/>
    <mergeCell ref="C336:C338"/>
    <mergeCell ref="D336:D338"/>
    <mergeCell ref="E336:E338"/>
    <mergeCell ref="A327:A329"/>
    <mergeCell ref="B327:B329"/>
    <mergeCell ref="C327:C329"/>
    <mergeCell ref="D327:D329"/>
    <mergeCell ref="E327:E329"/>
    <mergeCell ref="A330:A332"/>
    <mergeCell ref="B330:B332"/>
    <mergeCell ref="C330:C332"/>
    <mergeCell ref="D330:D332"/>
    <mergeCell ref="E330:E332"/>
    <mergeCell ref="A321:A323"/>
    <mergeCell ref="B321:B323"/>
    <mergeCell ref="C321:C323"/>
    <mergeCell ref="D321:D323"/>
    <mergeCell ref="E321:E323"/>
    <mergeCell ref="A324:A326"/>
    <mergeCell ref="B324:B326"/>
    <mergeCell ref="C324:C326"/>
    <mergeCell ref="D324:D326"/>
    <mergeCell ref="E324:E326"/>
    <mergeCell ref="A315:A317"/>
    <mergeCell ref="B315:B317"/>
    <mergeCell ref="C315:C317"/>
    <mergeCell ref="D315:D317"/>
    <mergeCell ref="E315:E317"/>
    <mergeCell ref="A318:A320"/>
    <mergeCell ref="B318:B320"/>
    <mergeCell ref="C318:C320"/>
    <mergeCell ref="D318:D320"/>
    <mergeCell ref="E318:E320"/>
    <mergeCell ref="A309:A311"/>
    <mergeCell ref="B309:B311"/>
    <mergeCell ref="C309:C311"/>
    <mergeCell ref="D309:D311"/>
    <mergeCell ref="E309:E311"/>
    <mergeCell ref="A312:A314"/>
    <mergeCell ref="B312:B314"/>
    <mergeCell ref="C312:C314"/>
    <mergeCell ref="D312:D314"/>
    <mergeCell ref="E312:E314"/>
    <mergeCell ref="A303:A305"/>
    <mergeCell ref="B303:B305"/>
    <mergeCell ref="C303:C305"/>
    <mergeCell ref="D303:D305"/>
    <mergeCell ref="E303:E305"/>
    <mergeCell ref="A306:A308"/>
    <mergeCell ref="B306:B308"/>
    <mergeCell ref="C306:C308"/>
    <mergeCell ref="D306:D308"/>
    <mergeCell ref="E306:E308"/>
    <mergeCell ref="A297:A299"/>
    <mergeCell ref="B297:B299"/>
    <mergeCell ref="C297:C299"/>
    <mergeCell ref="D297:D299"/>
    <mergeCell ref="E297:E299"/>
    <mergeCell ref="A300:A302"/>
    <mergeCell ref="B300:B302"/>
    <mergeCell ref="C300:C302"/>
    <mergeCell ref="D300:D302"/>
    <mergeCell ref="E300:E302"/>
    <mergeCell ref="A291:A293"/>
    <mergeCell ref="B291:B293"/>
    <mergeCell ref="C291:C293"/>
    <mergeCell ref="D291:D293"/>
    <mergeCell ref="E291:E293"/>
    <mergeCell ref="A294:A296"/>
    <mergeCell ref="B294:B296"/>
    <mergeCell ref="C294:C296"/>
    <mergeCell ref="D294:D296"/>
    <mergeCell ref="E294:E296"/>
    <mergeCell ref="A285:A287"/>
    <mergeCell ref="B285:B287"/>
    <mergeCell ref="C285:C287"/>
    <mergeCell ref="D285:D287"/>
    <mergeCell ref="E285:E287"/>
    <mergeCell ref="A288:A290"/>
    <mergeCell ref="B288:B290"/>
    <mergeCell ref="C288:C290"/>
    <mergeCell ref="D288:D290"/>
    <mergeCell ref="E288:E290"/>
    <mergeCell ref="A279:A281"/>
    <mergeCell ref="B279:B281"/>
    <mergeCell ref="C279:C281"/>
    <mergeCell ref="D279:D281"/>
    <mergeCell ref="E279:E281"/>
    <mergeCell ref="A282:A284"/>
    <mergeCell ref="B282:B284"/>
    <mergeCell ref="C282:C284"/>
    <mergeCell ref="D282:D284"/>
    <mergeCell ref="E282:E284"/>
    <mergeCell ref="A273:A275"/>
    <mergeCell ref="B273:B275"/>
    <mergeCell ref="C273:C275"/>
    <mergeCell ref="D273:D275"/>
    <mergeCell ref="E273:E275"/>
    <mergeCell ref="A276:A278"/>
    <mergeCell ref="B276:B278"/>
    <mergeCell ref="C276:C278"/>
    <mergeCell ref="D276:D278"/>
    <mergeCell ref="E276:E278"/>
    <mergeCell ref="A267:A269"/>
    <mergeCell ref="B267:B269"/>
    <mergeCell ref="C267:C269"/>
    <mergeCell ref="D267:D269"/>
    <mergeCell ref="E267:E269"/>
    <mergeCell ref="A270:A272"/>
    <mergeCell ref="B270:B272"/>
    <mergeCell ref="C270:C272"/>
    <mergeCell ref="D270:D272"/>
    <mergeCell ref="E270:E272"/>
    <mergeCell ref="A261:A263"/>
    <mergeCell ref="B261:B263"/>
    <mergeCell ref="C261:C263"/>
    <mergeCell ref="D261:D263"/>
    <mergeCell ref="E261:E263"/>
    <mergeCell ref="A264:A266"/>
    <mergeCell ref="B264:B266"/>
    <mergeCell ref="C264:C266"/>
    <mergeCell ref="D264:D266"/>
    <mergeCell ref="E264:E266"/>
    <mergeCell ref="A255:A257"/>
    <mergeCell ref="B255:B257"/>
    <mergeCell ref="C255:C257"/>
    <mergeCell ref="D255:D257"/>
    <mergeCell ref="E255:E257"/>
    <mergeCell ref="A258:A260"/>
    <mergeCell ref="B258:B260"/>
    <mergeCell ref="C258:C260"/>
    <mergeCell ref="D258:D260"/>
    <mergeCell ref="E258:E260"/>
    <mergeCell ref="A249:A251"/>
    <mergeCell ref="B249:B251"/>
    <mergeCell ref="C249:C251"/>
    <mergeCell ref="D249:D251"/>
    <mergeCell ref="E249:E251"/>
    <mergeCell ref="A252:A254"/>
    <mergeCell ref="B252:B254"/>
    <mergeCell ref="C252:C254"/>
    <mergeCell ref="D252:D254"/>
    <mergeCell ref="E252:E254"/>
    <mergeCell ref="A243:A245"/>
    <mergeCell ref="B243:B245"/>
    <mergeCell ref="C243:C245"/>
    <mergeCell ref="D243:D245"/>
    <mergeCell ref="E243:E245"/>
    <mergeCell ref="A246:A248"/>
    <mergeCell ref="B246:B248"/>
    <mergeCell ref="C246:C248"/>
    <mergeCell ref="D246:D248"/>
    <mergeCell ref="E246:E248"/>
    <mergeCell ref="A237:A239"/>
    <mergeCell ref="B237:B239"/>
    <mergeCell ref="C237:C239"/>
    <mergeCell ref="D237:D239"/>
    <mergeCell ref="E237:E239"/>
    <mergeCell ref="A240:A242"/>
    <mergeCell ref="B240:B242"/>
    <mergeCell ref="C240:C242"/>
    <mergeCell ref="D240:D242"/>
    <mergeCell ref="E240:E242"/>
    <mergeCell ref="A231:A233"/>
    <mergeCell ref="B231:B233"/>
    <mergeCell ref="C231:C233"/>
    <mergeCell ref="D231:D233"/>
    <mergeCell ref="E231:E233"/>
    <mergeCell ref="A234:A236"/>
    <mergeCell ref="B234:B236"/>
    <mergeCell ref="C234:C236"/>
    <mergeCell ref="D234:D236"/>
    <mergeCell ref="E234:E236"/>
    <mergeCell ref="A225:A227"/>
    <mergeCell ref="B225:B227"/>
    <mergeCell ref="C225:C227"/>
    <mergeCell ref="D225:D227"/>
    <mergeCell ref="E225:E227"/>
    <mergeCell ref="A228:A230"/>
    <mergeCell ref="B228:B230"/>
    <mergeCell ref="C228:C230"/>
    <mergeCell ref="D228:D230"/>
    <mergeCell ref="E228:E230"/>
    <mergeCell ref="A219:A221"/>
    <mergeCell ref="B219:B221"/>
    <mergeCell ref="C219:C221"/>
    <mergeCell ref="D219:D221"/>
    <mergeCell ref="E219:E221"/>
    <mergeCell ref="A222:A224"/>
    <mergeCell ref="B222:B224"/>
    <mergeCell ref="C222:C224"/>
    <mergeCell ref="D222:D224"/>
    <mergeCell ref="E222:E224"/>
    <mergeCell ref="A213:A215"/>
    <mergeCell ref="B213:B215"/>
    <mergeCell ref="C213:C215"/>
    <mergeCell ref="D213:D215"/>
    <mergeCell ref="E213:E215"/>
    <mergeCell ref="A216:A218"/>
    <mergeCell ref="B216:B218"/>
    <mergeCell ref="C216:C218"/>
    <mergeCell ref="D216:D218"/>
    <mergeCell ref="E216:E218"/>
    <mergeCell ref="A207:A209"/>
    <mergeCell ref="B207:B209"/>
    <mergeCell ref="C207:C209"/>
    <mergeCell ref="D207:D209"/>
    <mergeCell ref="E207:E209"/>
    <mergeCell ref="A210:A212"/>
    <mergeCell ref="B210:B212"/>
    <mergeCell ref="C210:C212"/>
    <mergeCell ref="D210:D212"/>
    <mergeCell ref="E210:E212"/>
    <mergeCell ref="A201:A203"/>
    <mergeCell ref="B201:B203"/>
    <mergeCell ref="C201:C203"/>
    <mergeCell ref="D201:D203"/>
    <mergeCell ref="E201:E203"/>
    <mergeCell ref="A204:A206"/>
    <mergeCell ref="B204:B206"/>
    <mergeCell ref="C204:C206"/>
    <mergeCell ref="D204:D206"/>
    <mergeCell ref="E204:E206"/>
    <mergeCell ref="A195:A197"/>
    <mergeCell ref="B195:B197"/>
    <mergeCell ref="C195:C197"/>
    <mergeCell ref="D195:D197"/>
    <mergeCell ref="E195:E197"/>
    <mergeCell ref="A198:A200"/>
    <mergeCell ref="B198:B200"/>
    <mergeCell ref="C198:C200"/>
    <mergeCell ref="D198:D200"/>
    <mergeCell ref="E198:E200"/>
    <mergeCell ref="A189:A191"/>
    <mergeCell ref="B189:B191"/>
    <mergeCell ref="C189:C191"/>
    <mergeCell ref="D189:D191"/>
    <mergeCell ref="E189:E191"/>
    <mergeCell ref="A192:A194"/>
    <mergeCell ref="B192:B194"/>
    <mergeCell ref="C192:C194"/>
    <mergeCell ref="D192:D194"/>
    <mergeCell ref="E192:E194"/>
    <mergeCell ref="A183:A185"/>
    <mergeCell ref="B183:B185"/>
    <mergeCell ref="C183:C185"/>
    <mergeCell ref="D183:D185"/>
    <mergeCell ref="E183:E185"/>
    <mergeCell ref="A186:A188"/>
    <mergeCell ref="B186:B188"/>
    <mergeCell ref="C186:C188"/>
    <mergeCell ref="D186:D188"/>
    <mergeCell ref="E186:E188"/>
    <mergeCell ref="A177:A179"/>
    <mergeCell ref="B177:B179"/>
    <mergeCell ref="C177:C179"/>
    <mergeCell ref="D177:D179"/>
    <mergeCell ref="E177:E179"/>
    <mergeCell ref="A180:A182"/>
    <mergeCell ref="B180:B182"/>
    <mergeCell ref="C180:C182"/>
    <mergeCell ref="D180:D182"/>
    <mergeCell ref="E180:E182"/>
    <mergeCell ref="A171:A173"/>
    <mergeCell ref="B171:B173"/>
    <mergeCell ref="C171:C173"/>
    <mergeCell ref="D171:D173"/>
    <mergeCell ref="E171:E173"/>
    <mergeCell ref="A174:A176"/>
    <mergeCell ref="B174:B176"/>
    <mergeCell ref="C174:C176"/>
    <mergeCell ref="D174:D176"/>
    <mergeCell ref="E174:E176"/>
    <mergeCell ref="A165:A167"/>
    <mergeCell ref="B165:B167"/>
    <mergeCell ref="C165:C167"/>
    <mergeCell ref="D165:D167"/>
    <mergeCell ref="E165:E167"/>
    <mergeCell ref="A168:A170"/>
    <mergeCell ref="B168:B170"/>
    <mergeCell ref="C168:C170"/>
    <mergeCell ref="D168:D170"/>
    <mergeCell ref="E168:E170"/>
    <mergeCell ref="A159:A161"/>
    <mergeCell ref="B159:B161"/>
    <mergeCell ref="C159:C161"/>
    <mergeCell ref="D159:D161"/>
    <mergeCell ref="E159:E161"/>
    <mergeCell ref="A162:A164"/>
    <mergeCell ref="B162:B164"/>
    <mergeCell ref="C162:C164"/>
    <mergeCell ref="D162:D164"/>
    <mergeCell ref="E162:E164"/>
    <mergeCell ref="A153:A155"/>
    <mergeCell ref="B153:B155"/>
    <mergeCell ref="C153:C155"/>
    <mergeCell ref="D153:D155"/>
    <mergeCell ref="E153:E155"/>
    <mergeCell ref="A156:A158"/>
    <mergeCell ref="B156:B158"/>
    <mergeCell ref="C156:C158"/>
    <mergeCell ref="D156:D158"/>
    <mergeCell ref="E156:E158"/>
    <mergeCell ref="A147:A149"/>
    <mergeCell ref="B147:B149"/>
    <mergeCell ref="C147:C149"/>
    <mergeCell ref="D147:D149"/>
    <mergeCell ref="E147:E149"/>
    <mergeCell ref="A150:A152"/>
    <mergeCell ref="B150:B152"/>
    <mergeCell ref="C150:C152"/>
    <mergeCell ref="D150:D152"/>
    <mergeCell ref="E150:E152"/>
    <mergeCell ref="A141:A143"/>
    <mergeCell ref="B141:B143"/>
    <mergeCell ref="C141:C143"/>
    <mergeCell ref="D141:D143"/>
    <mergeCell ref="E141:E143"/>
    <mergeCell ref="A144:A146"/>
    <mergeCell ref="B144:B146"/>
    <mergeCell ref="C144:C146"/>
    <mergeCell ref="D144:D146"/>
    <mergeCell ref="E144:E146"/>
    <mergeCell ref="A135:A137"/>
    <mergeCell ref="B135:B137"/>
    <mergeCell ref="C135:C137"/>
    <mergeCell ref="D135:D137"/>
    <mergeCell ref="E135:E137"/>
    <mergeCell ref="A138:A140"/>
    <mergeCell ref="B138:B140"/>
    <mergeCell ref="C138:C140"/>
    <mergeCell ref="D138:D140"/>
    <mergeCell ref="E138:E140"/>
    <mergeCell ref="A129:A131"/>
    <mergeCell ref="B129:B131"/>
    <mergeCell ref="C129:C131"/>
    <mergeCell ref="D129:D131"/>
    <mergeCell ref="E129:E131"/>
    <mergeCell ref="A132:A134"/>
    <mergeCell ref="B132:B134"/>
    <mergeCell ref="C132:C134"/>
    <mergeCell ref="D132:D134"/>
    <mergeCell ref="E132:E134"/>
    <mergeCell ref="A123:A125"/>
    <mergeCell ref="B123:B125"/>
    <mergeCell ref="C123:C125"/>
    <mergeCell ref="D123:D125"/>
    <mergeCell ref="E123:E125"/>
    <mergeCell ref="A126:A128"/>
    <mergeCell ref="B126:B128"/>
    <mergeCell ref="C126:C128"/>
    <mergeCell ref="D126:D128"/>
    <mergeCell ref="E126:E128"/>
    <mergeCell ref="A117:A119"/>
    <mergeCell ref="B117:B119"/>
    <mergeCell ref="C117:C119"/>
    <mergeCell ref="D117:D119"/>
    <mergeCell ref="E117:E119"/>
    <mergeCell ref="A120:A122"/>
    <mergeCell ref="B120:B122"/>
    <mergeCell ref="C120:C122"/>
    <mergeCell ref="D120:D122"/>
    <mergeCell ref="E120:E122"/>
    <mergeCell ref="A111:A113"/>
    <mergeCell ref="B111:B113"/>
    <mergeCell ref="C111:C113"/>
    <mergeCell ref="D111:D113"/>
    <mergeCell ref="E111:E113"/>
    <mergeCell ref="A114:A116"/>
    <mergeCell ref="B114:B116"/>
    <mergeCell ref="C114:C116"/>
    <mergeCell ref="D114:D116"/>
    <mergeCell ref="E114:E116"/>
    <mergeCell ref="A105:A107"/>
    <mergeCell ref="B105:B107"/>
    <mergeCell ref="C105:C107"/>
    <mergeCell ref="D105:D107"/>
    <mergeCell ref="E105:E107"/>
    <mergeCell ref="A108:A110"/>
    <mergeCell ref="B108:B110"/>
    <mergeCell ref="C108:C110"/>
    <mergeCell ref="D108:D110"/>
    <mergeCell ref="E108:E110"/>
    <mergeCell ref="A99:A101"/>
    <mergeCell ref="B99:B101"/>
    <mergeCell ref="C99:C101"/>
    <mergeCell ref="D99:D101"/>
    <mergeCell ref="E99:E101"/>
    <mergeCell ref="A102:A104"/>
    <mergeCell ref="B102:B104"/>
    <mergeCell ref="C102:C104"/>
    <mergeCell ref="D102:D104"/>
    <mergeCell ref="E102:E104"/>
    <mergeCell ref="A93:A95"/>
    <mergeCell ref="B93:B95"/>
    <mergeCell ref="C93:C95"/>
    <mergeCell ref="D93:D95"/>
    <mergeCell ref="E93:E95"/>
    <mergeCell ref="A96:A98"/>
    <mergeCell ref="B96:B98"/>
    <mergeCell ref="C96:C98"/>
    <mergeCell ref="D96:D98"/>
    <mergeCell ref="E96:E98"/>
    <mergeCell ref="A87:A89"/>
    <mergeCell ref="B87:B89"/>
    <mergeCell ref="C87:C89"/>
    <mergeCell ref="D87:D89"/>
    <mergeCell ref="E87:E89"/>
    <mergeCell ref="A90:A92"/>
    <mergeCell ref="B90:B92"/>
    <mergeCell ref="C90:C92"/>
    <mergeCell ref="D90:D92"/>
    <mergeCell ref="E90:E92"/>
    <mergeCell ref="A81:A83"/>
    <mergeCell ref="B81:B83"/>
    <mergeCell ref="C81:C83"/>
    <mergeCell ref="D81:D83"/>
    <mergeCell ref="E81:E83"/>
    <mergeCell ref="A84:A86"/>
    <mergeCell ref="B84:B86"/>
    <mergeCell ref="C84:C86"/>
    <mergeCell ref="D84:D86"/>
    <mergeCell ref="E84:E86"/>
    <mergeCell ref="A75:A77"/>
    <mergeCell ref="B75:B77"/>
    <mergeCell ref="C75:C77"/>
    <mergeCell ref="D75:D77"/>
    <mergeCell ref="E75:E77"/>
    <mergeCell ref="A78:A80"/>
    <mergeCell ref="B78:B80"/>
    <mergeCell ref="C78:C80"/>
    <mergeCell ref="D78:D80"/>
    <mergeCell ref="E78:E80"/>
    <mergeCell ref="A69:A71"/>
    <mergeCell ref="B69:B71"/>
    <mergeCell ref="C69:C71"/>
    <mergeCell ref="D69:D71"/>
    <mergeCell ref="E69:E71"/>
    <mergeCell ref="A72:A74"/>
    <mergeCell ref="B72:B74"/>
    <mergeCell ref="C72:C74"/>
    <mergeCell ref="D72:D74"/>
    <mergeCell ref="E72:E74"/>
    <mergeCell ref="A63:A65"/>
    <mergeCell ref="B63:B65"/>
    <mergeCell ref="C63:C65"/>
    <mergeCell ref="D63:D65"/>
    <mergeCell ref="E63:E65"/>
    <mergeCell ref="A66:A68"/>
    <mergeCell ref="B66:B68"/>
    <mergeCell ref="C66:C68"/>
    <mergeCell ref="D66:D68"/>
    <mergeCell ref="E66:E68"/>
    <mergeCell ref="A57:A59"/>
    <mergeCell ref="B57:B59"/>
    <mergeCell ref="C57:C59"/>
    <mergeCell ref="D57:D59"/>
    <mergeCell ref="E57:E59"/>
    <mergeCell ref="A60:A62"/>
    <mergeCell ref="B60:B62"/>
    <mergeCell ref="C60:C62"/>
    <mergeCell ref="D60:D62"/>
    <mergeCell ref="E60:E62"/>
    <mergeCell ref="A51:A53"/>
    <mergeCell ref="B51:B53"/>
    <mergeCell ref="C51:C53"/>
    <mergeCell ref="D51:D53"/>
    <mergeCell ref="E51:E53"/>
    <mergeCell ref="A54:A56"/>
    <mergeCell ref="B54:B56"/>
    <mergeCell ref="C54:C56"/>
    <mergeCell ref="D54:D56"/>
    <mergeCell ref="E54:E56"/>
    <mergeCell ref="A45:A47"/>
    <mergeCell ref="B45:B47"/>
    <mergeCell ref="C45:C47"/>
    <mergeCell ref="D45:D47"/>
    <mergeCell ref="E45:E47"/>
    <mergeCell ref="A48:A50"/>
    <mergeCell ref="B48:B50"/>
    <mergeCell ref="C48:C50"/>
    <mergeCell ref="D48:D50"/>
    <mergeCell ref="E48:E50"/>
    <mergeCell ref="A39:A41"/>
    <mergeCell ref="B39:B41"/>
    <mergeCell ref="C39:C41"/>
    <mergeCell ref="D39:D41"/>
    <mergeCell ref="E39:E41"/>
    <mergeCell ref="A42:A44"/>
    <mergeCell ref="B42:B44"/>
    <mergeCell ref="C42:C44"/>
    <mergeCell ref="D42:D44"/>
    <mergeCell ref="E42:E44"/>
    <mergeCell ref="A33:A35"/>
    <mergeCell ref="B33:B35"/>
    <mergeCell ref="C33:C35"/>
    <mergeCell ref="D33:D35"/>
    <mergeCell ref="E33:E35"/>
    <mergeCell ref="A36:A38"/>
    <mergeCell ref="B36:B38"/>
    <mergeCell ref="C36:C38"/>
    <mergeCell ref="D36:D38"/>
    <mergeCell ref="E36:E38"/>
    <mergeCell ref="A27:A29"/>
    <mergeCell ref="B27:B29"/>
    <mergeCell ref="C27:C29"/>
    <mergeCell ref="D27:D29"/>
    <mergeCell ref="E27:E29"/>
    <mergeCell ref="A30:A32"/>
    <mergeCell ref="B30:B32"/>
    <mergeCell ref="C30:C32"/>
    <mergeCell ref="D30:D32"/>
    <mergeCell ref="E30:E32"/>
    <mergeCell ref="A21:A23"/>
    <mergeCell ref="B21:B23"/>
    <mergeCell ref="C21:C23"/>
    <mergeCell ref="D21:D23"/>
    <mergeCell ref="E21:E23"/>
    <mergeCell ref="A24:A26"/>
    <mergeCell ref="B24:B26"/>
    <mergeCell ref="C24:C26"/>
    <mergeCell ref="D24:D26"/>
    <mergeCell ref="E24:E26"/>
    <mergeCell ref="A15:A17"/>
    <mergeCell ref="B15:B17"/>
    <mergeCell ref="C15:C17"/>
    <mergeCell ref="D15:D17"/>
    <mergeCell ref="E15:E17"/>
    <mergeCell ref="A18:A20"/>
    <mergeCell ref="B18:B20"/>
    <mergeCell ref="C18:C20"/>
    <mergeCell ref="D18:D20"/>
    <mergeCell ref="E18:E20"/>
    <mergeCell ref="A9:A11"/>
    <mergeCell ref="B9:B11"/>
    <mergeCell ref="C9:C11"/>
    <mergeCell ref="D9:D11"/>
    <mergeCell ref="E9:E11"/>
    <mergeCell ref="F9:F11"/>
    <mergeCell ref="A12:A14"/>
    <mergeCell ref="B12:B14"/>
    <mergeCell ref="C12:C14"/>
    <mergeCell ref="D12:D14"/>
    <mergeCell ref="E12:E14"/>
  </mergeCells>
  <pageMargins left="0.59055118110236227" right="0.59055118110236227" top="0.39370078740157483" bottom="0.39370078740157483" header="0" footer="0"/>
  <pageSetup paperSize="9" scale="62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146C-1D84-43DB-8F73-3C45DB1DC987}">
  <sheetPr>
    <pageSetUpPr fitToPage="1"/>
  </sheetPr>
  <dimension ref="A1:I125"/>
  <sheetViews>
    <sheetView workbookViewId="0">
      <selection sqref="A1:I38"/>
    </sheetView>
  </sheetViews>
  <sheetFormatPr defaultRowHeight="12.75" x14ac:dyDescent="0.2"/>
  <cols>
    <col min="1" max="1" width="7.5703125" style="145" customWidth="1"/>
    <col min="2" max="2" width="40.28515625" style="145" customWidth="1"/>
    <col min="3" max="3" width="13" style="145" customWidth="1"/>
    <col min="4" max="5" width="12.5703125" style="145" customWidth="1"/>
    <col min="6" max="6" width="13.7109375" style="145" customWidth="1"/>
    <col min="7" max="7" width="13.42578125" style="145" customWidth="1"/>
    <col min="8" max="8" width="12.28515625" style="145" customWidth="1"/>
    <col min="9" max="9" width="10.7109375" style="145" customWidth="1"/>
    <col min="10" max="246" width="9.140625" style="145"/>
    <col min="247" max="247" width="7.5703125" style="145" customWidth="1"/>
    <col min="248" max="248" width="40.28515625" style="145" customWidth="1"/>
    <col min="249" max="249" width="14.28515625" style="145" customWidth="1"/>
    <col min="250" max="250" width="13.42578125" style="145" customWidth="1"/>
    <col min="251" max="251" width="13.140625" style="145" customWidth="1"/>
    <col min="252" max="254" width="0" style="145" hidden="1" customWidth="1"/>
    <col min="255" max="255" width="15.140625" style="145" customWidth="1"/>
    <col min="256" max="502" width="9.140625" style="145"/>
    <col min="503" max="503" width="7.5703125" style="145" customWidth="1"/>
    <col min="504" max="504" width="40.28515625" style="145" customWidth="1"/>
    <col min="505" max="505" width="14.28515625" style="145" customWidth="1"/>
    <col min="506" max="506" width="13.42578125" style="145" customWidth="1"/>
    <col min="507" max="507" width="13.140625" style="145" customWidth="1"/>
    <col min="508" max="510" width="0" style="145" hidden="1" customWidth="1"/>
    <col min="511" max="511" width="15.140625" style="145" customWidth="1"/>
    <col min="512" max="758" width="9.140625" style="145"/>
    <col min="759" max="759" width="7.5703125" style="145" customWidth="1"/>
    <col min="760" max="760" width="40.28515625" style="145" customWidth="1"/>
    <col min="761" max="761" width="14.28515625" style="145" customWidth="1"/>
    <col min="762" max="762" width="13.42578125" style="145" customWidth="1"/>
    <col min="763" max="763" width="13.140625" style="145" customWidth="1"/>
    <col min="764" max="766" width="0" style="145" hidden="1" customWidth="1"/>
    <col min="767" max="767" width="15.140625" style="145" customWidth="1"/>
    <col min="768" max="1014" width="9.140625" style="145"/>
    <col min="1015" max="1015" width="7.5703125" style="145" customWidth="1"/>
    <col min="1016" max="1016" width="40.28515625" style="145" customWidth="1"/>
    <col min="1017" max="1017" width="14.28515625" style="145" customWidth="1"/>
    <col min="1018" max="1018" width="13.42578125" style="145" customWidth="1"/>
    <col min="1019" max="1019" width="13.140625" style="145" customWidth="1"/>
    <col min="1020" max="1022" width="0" style="145" hidden="1" customWidth="1"/>
    <col min="1023" max="1023" width="15.140625" style="145" customWidth="1"/>
    <col min="1024" max="1270" width="9.140625" style="145"/>
    <col min="1271" max="1271" width="7.5703125" style="145" customWidth="1"/>
    <col min="1272" max="1272" width="40.28515625" style="145" customWidth="1"/>
    <col min="1273" max="1273" width="14.28515625" style="145" customWidth="1"/>
    <col min="1274" max="1274" width="13.42578125" style="145" customWidth="1"/>
    <col min="1275" max="1275" width="13.140625" style="145" customWidth="1"/>
    <col min="1276" max="1278" width="0" style="145" hidden="1" customWidth="1"/>
    <col min="1279" max="1279" width="15.140625" style="145" customWidth="1"/>
    <col min="1280" max="1526" width="9.140625" style="145"/>
    <col min="1527" max="1527" width="7.5703125" style="145" customWidth="1"/>
    <col min="1528" max="1528" width="40.28515625" style="145" customWidth="1"/>
    <col min="1529" max="1529" width="14.28515625" style="145" customWidth="1"/>
    <col min="1530" max="1530" width="13.42578125" style="145" customWidth="1"/>
    <col min="1531" max="1531" width="13.140625" style="145" customWidth="1"/>
    <col min="1532" max="1534" width="0" style="145" hidden="1" customWidth="1"/>
    <col min="1535" max="1535" width="15.140625" style="145" customWidth="1"/>
    <col min="1536" max="1782" width="9.140625" style="145"/>
    <col min="1783" max="1783" width="7.5703125" style="145" customWidth="1"/>
    <col min="1784" max="1784" width="40.28515625" style="145" customWidth="1"/>
    <col min="1785" max="1785" width="14.28515625" style="145" customWidth="1"/>
    <col min="1786" max="1786" width="13.42578125" style="145" customWidth="1"/>
    <col min="1787" max="1787" width="13.140625" style="145" customWidth="1"/>
    <col min="1788" max="1790" width="0" style="145" hidden="1" customWidth="1"/>
    <col min="1791" max="1791" width="15.140625" style="145" customWidth="1"/>
    <col min="1792" max="2038" width="9.140625" style="145"/>
    <col min="2039" max="2039" width="7.5703125" style="145" customWidth="1"/>
    <col min="2040" max="2040" width="40.28515625" style="145" customWidth="1"/>
    <col min="2041" max="2041" width="14.28515625" style="145" customWidth="1"/>
    <col min="2042" max="2042" width="13.42578125" style="145" customWidth="1"/>
    <col min="2043" max="2043" width="13.140625" style="145" customWidth="1"/>
    <col min="2044" max="2046" width="0" style="145" hidden="1" customWidth="1"/>
    <col min="2047" max="2047" width="15.140625" style="145" customWidth="1"/>
    <col min="2048" max="2294" width="9.140625" style="145"/>
    <col min="2295" max="2295" width="7.5703125" style="145" customWidth="1"/>
    <col min="2296" max="2296" width="40.28515625" style="145" customWidth="1"/>
    <col min="2297" max="2297" width="14.28515625" style="145" customWidth="1"/>
    <col min="2298" max="2298" width="13.42578125" style="145" customWidth="1"/>
    <col min="2299" max="2299" width="13.140625" style="145" customWidth="1"/>
    <col min="2300" max="2302" width="0" style="145" hidden="1" customWidth="1"/>
    <col min="2303" max="2303" width="15.140625" style="145" customWidth="1"/>
    <col min="2304" max="2550" width="9.140625" style="145"/>
    <col min="2551" max="2551" width="7.5703125" style="145" customWidth="1"/>
    <col min="2552" max="2552" width="40.28515625" style="145" customWidth="1"/>
    <col min="2553" max="2553" width="14.28515625" style="145" customWidth="1"/>
    <col min="2554" max="2554" width="13.42578125" style="145" customWidth="1"/>
    <col min="2555" max="2555" width="13.140625" style="145" customWidth="1"/>
    <col min="2556" max="2558" width="0" style="145" hidden="1" customWidth="1"/>
    <col min="2559" max="2559" width="15.140625" style="145" customWidth="1"/>
    <col min="2560" max="2806" width="9.140625" style="145"/>
    <col min="2807" max="2807" width="7.5703125" style="145" customWidth="1"/>
    <col min="2808" max="2808" width="40.28515625" style="145" customWidth="1"/>
    <col min="2809" max="2809" width="14.28515625" style="145" customWidth="1"/>
    <col min="2810" max="2810" width="13.42578125" style="145" customWidth="1"/>
    <col min="2811" max="2811" width="13.140625" style="145" customWidth="1"/>
    <col min="2812" max="2814" width="0" style="145" hidden="1" customWidth="1"/>
    <col min="2815" max="2815" width="15.140625" style="145" customWidth="1"/>
    <col min="2816" max="3062" width="9.140625" style="145"/>
    <col min="3063" max="3063" width="7.5703125" style="145" customWidth="1"/>
    <col min="3064" max="3064" width="40.28515625" style="145" customWidth="1"/>
    <col min="3065" max="3065" width="14.28515625" style="145" customWidth="1"/>
    <col min="3066" max="3066" width="13.42578125" style="145" customWidth="1"/>
    <col min="3067" max="3067" width="13.140625" style="145" customWidth="1"/>
    <col min="3068" max="3070" width="0" style="145" hidden="1" customWidth="1"/>
    <col min="3071" max="3071" width="15.140625" style="145" customWidth="1"/>
    <col min="3072" max="3318" width="9.140625" style="145"/>
    <col min="3319" max="3319" width="7.5703125" style="145" customWidth="1"/>
    <col min="3320" max="3320" width="40.28515625" style="145" customWidth="1"/>
    <col min="3321" max="3321" width="14.28515625" style="145" customWidth="1"/>
    <col min="3322" max="3322" width="13.42578125" style="145" customWidth="1"/>
    <col min="3323" max="3323" width="13.140625" style="145" customWidth="1"/>
    <col min="3324" max="3326" width="0" style="145" hidden="1" customWidth="1"/>
    <col min="3327" max="3327" width="15.140625" style="145" customWidth="1"/>
    <col min="3328" max="3574" width="9.140625" style="145"/>
    <col min="3575" max="3575" width="7.5703125" style="145" customWidth="1"/>
    <col min="3576" max="3576" width="40.28515625" style="145" customWidth="1"/>
    <col min="3577" max="3577" width="14.28515625" style="145" customWidth="1"/>
    <col min="3578" max="3578" width="13.42578125" style="145" customWidth="1"/>
    <col min="3579" max="3579" width="13.140625" style="145" customWidth="1"/>
    <col min="3580" max="3582" width="0" style="145" hidden="1" customWidth="1"/>
    <col min="3583" max="3583" width="15.140625" style="145" customWidth="1"/>
    <col min="3584" max="3830" width="9.140625" style="145"/>
    <col min="3831" max="3831" width="7.5703125" style="145" customWidth="1"/>
    <col min="3832" max="3832" width="40.28515625" style="145" customWidth="1"/>
    <col min="3833" max="3833" width="14.28515625" style="145" customWidth="1"/>
    <col min="3834" max="3834" width="13.42578125" style="145" customWidth="1"/>
    <col min="3835" max="3835" width="13.140625" style="145" customWidth="1"/>
    <col min="3836" max="3838" width="0" style="145" hidden="1" customWidth="1"/>
    <col min="3839" max="3839" width="15.140625" style="145" customWidth="1"/>
    <col min="3840" max="4086" width="9.140625" style="145"/>
    <col min="4087" max="4087" width="7.5703125" style="145" customWidth="1"/>
    <col min="4088" max="4088" width="40.28515625" style="145" customWidth="1"/>
    <col min="4089" max="4089" width="14.28515625" style="145" customWidth="1"/>
    <col min="4090" max="4090" width="13.42578125" style="145" customWidth="1"/>
    <col min="4091" max="4091" width="13.140625" style="145" customWidth="1"/>
    <col min="4092" max="4094" width="0" style="145" hidden="1" customWidth="1"/>
    <col min="4095" max="4095" width="15.140625" style="145" customWidth="1"/>
    <col min="4096" max="4342" width="9.140625" style="145"/>
    <col min="4343" max="4343" width="7.5703125" style="145" customWidth="1"/>
    <col min="4344" max="4344" width="40.28515625" style="145" customWidth="1"/>
    <col min="4345" max="4345" width="14.28515625" style="145" customWidth="1"/>
    <col min="4346" max="4346" width="13.42578125" style="145" customWidth="1"/>
    <col min="4347" max="4347" width="13.140625" style="145" customWidth="1"/>
    <col min="4348" max="4350" width="0" style="145" hidden="1" customWidth="1"/>
    <col min="4351" max="4351" width="15.140625" style="145" customWidth="1"/>
    <col min="4352" max="4598" width="9.140625" style="145"/>
    <col min="4599" max="4599" width="7.5703125" style="145" customWidth="1"/>
    <col min="4600" max="4600" width="40.28515625" style="145" customWidth="1"/>
    <col min="4601" max="4601" width="14.28515625" style="145" customWidth="1"/>
    <col min="4602" max="4602" width="13.42578125" style="145" customWidth="1"/>
    <col min="4603" max="4603" width="13.140625" style="145" customWidth="1"/>
    <col min="4604" max="4606" width="0" style="145" hidden="1" customWidth="1"/>
    <col min="4607" max="4607" width="15.140625" style="145" customWidth="1"/>
    <col min="4608" max="4854" width="9.140625" style="145"/>
    <col min="4855" max="4855" width="7.5703125" style="145" customWidth="1"/>
    <col min="4856" max="4856" width="40.28515625" style="145" customWidth="1"/>
    <col min="4857" max="4857" width="14.28515625" style="145" customWidth="1"/>
    <col min="4858" max="4858" width="13.42578125" style="145" customWidth="1"/>
    <col min="4859" max="4859" width="13.140625" style="145" customWidth="1"/>
    <col min="4860" max="4862" width="0" style="145" hidden="1" customWidth="1"/>
    <col min="4863" max="4863" width="15.140625" style="145" customWidth="1"/>
    <col min="4864" max="5110" width="9.140625" style="145"/>
    <col min="5111" max="5111" width="7.5703125" style="145" customWidth="1"/>
    <col min="5112" max="5112" width="40.28515625" style="145" customWidth="1"/>
    <col min="5113" max="5113" width="14.28515625" style="145" customWidth="1"/>
    <col min="5114" max="5114" width="13.42578125" style="145" customWidth="1"/>
    <col min="5115" max="5115" width="13.140625" style="145" customWidth="1"/>
    <col min="5116" max="5118" width="0" style="145" hidden="1" customWidth="1"/>
    <col min="5119" max="5119" width="15.140625" style="145" customWidth="1"/>
    <col min="5120" max="5366" width="9.140625" style="145"/>
    <col min="5367" max="5367" width="7.5703125" style="145" customWidth="1"/>
    <col min="5368" max="5368" width="40.28515625" style="145" customWidth="1"/>
    <col min="5369" max="5369" width="14.28515625" style="145" customWidth="1"/>
    <col min="5370" max="5370" width="13.42578125" style="145" customWidth="1"/>
    <col min="5371" max="5371" width="13.140625" style="145" customWidth="1"/>
    <col min="5372" max="5374" width="0" style="145" hidden="1" customWidth="1"/>
    <col min="5375" max="5375" width="15.140625" style="145" customWidth="1"/>
    <col min="5376" max="5622" width="9.140625" style="145"/>
    <col min="5623" max="5623" width="7.5703125" style="145" customWidth="1"/>
    <col min="5624" max="5624" width="40.28515625" style="145" customWidth="1"/>
    <col min="5625" max="5625" width="14.28515625" style="145" customWidth="1"/>
    <col min="5626" max="5626" width="13.42578125" style="145" customWidth="1"/>
    <col min="5627" max="5627" width="13.140625" style="145" customWidth="1"/>
    <col min="5628" max="5630" width="0" style="145" hidden="1" customWidth="1"/>
    <col min="5631" max="5631" width="15.140625" style="145" customWidth="1"/>
    <col min="5632" max="5878" width="9.140625" style="145"/>
    <col min="5879" max="5879" width="7.5703125" style="145" customWidth="1"/>
    <col min="5880" max="5880" width="40.28515625" style="145" customWidth="1"/>
    <col min="5881" max="5881" width="14.28515625" style="145" customWidth="1"/>
    <col min="5882" max="5882" width="13.42578125" style="145" customWidth="1"/>
    <col min="5883" max="5883" width="13.140625" style="145" customWidth="1"/>
    <col min="5884" max="5886" width="0" style="145" hidden="1" customWidth="1"/>
    <col min="5887" max="5887" width="15.140625" style="145" customWidth="1"/>
    <col min="5888" max="6134" width="9.140625" style="145"/>
    <col min="6135" max="6135" width="7.5703125" style="145" customWidth="1"/>
    <col min="6136" max="6136" width="40.28515625" style="145" customWidth="1"/>
    <col min="6137" max="6137" width="14.28515625" style="145" customWidth="1"/>
    <col min="6138" max="6138" width="13.42578125" style="145" customWidth="1"/>
    <col min="6139" max="6139" width="13.140625" style="145" customWidth="1"/>
    <col min="6140" max="6142" width="0" style="145" hidden="1" customWidth="1"/>
    <col min="6143" max="6143" width="15.140625" style="145" customWidth="1"/>
    <col min="6144" max="6390" width="9.140625" style="145"/>
    <col min="6391" max="6391" width="7.5703125" style="145" customWidth="1"/>
    <col min="6392" max="6392" width="40.28515625" style="145" customWidth="1"/>
    <col min="6393" max="6393" width="14.28515625" style="145" customWidth="1"/>
    <col min="6394" max="6394" width="13.42578125" style="145" customWidth="1"/>
    <col min="6395" max="6395" width="13.140625" style="145" customWidth="1"/>
    <col min="6396" max="6398" width="0" style="145" hidden="1" customWidth="1"/>
    <col min="6399" max="6399" width="15.140625" style="145" customWidth="1"/>
    <col min="6400" max="6646" width="9.140625" style="145"/>
    <col min="6647" max="6647" width="7.5703125" style="145" customWidth="1"/>
    <col min="6648" max="6648" width="40.28515625" style="145" customWidth="1"/>
    <col min="6649" max="6649" width="14.28515625" style="145" customWidth="1"/>
    <col min="6650" max="6650" width="13.42578125" style="145" customWidth="1"/>
    <col min="6651" max="6651" width="13.140625" style="145" customWidth="1"/>
    <col min="6652" max="6654" width="0" style="145" hidden="1" customWidth="1"/>
    <col min="6655" max="6655" width="15.140625" style="145" customWidth="1"/>
    <col min="6656" max="6902" width="9.140625" style="145"/>
    <col min="6903" max="6903" width="7.5703125" style="145" customWidth="1"/>
    <col min="6904" max="6904" width="40.28515625" style="145" customWidth="1"/>
    <col min="6905" max="6905" width="14.28515625" style="145" customWidth="1"/>
    <col min="6906" max="6906" width="13.42578125" style="145" customWidth="1"/>
    <col min="6907" max="6907" width="13.140625" style="145" customWidth="1"/>
    <col min="6908" max="6910" width="0" style="145" hidden="1" customWidth="1"/>
    <col min="6911" max="6911" width="15.140625" style="145" customWidth="1"/>
    <col min="6912" max="7158" width="9.140625" style="145"/>
    <col min="7159" max="7159" width="7.5703125" style="145" customWidth="1"/>
    <col min="7160" max="7160" width="40.28515625" style="145" customWidth="1"/>
    <col min="7161" max="7161" width="14.28515625" style="145" customWidth="1"/>
    <col min="7162" max="7162" width="13.42578125" style="145" customWidth="1"/>
    <col min="7163" max="7163" width="13.140625" style="145" customWidth="1"/>
    <col min="7164" max="7166" width="0" style="145" hidden="1" customWidth="1"/>
    <col min="7167" max="7167" width="15.140625" style="145" customWidth="1"/>
    <col min="7168" max="7414" width="9.140625" style="145"/>
    <col min="7415" max="7415" width="7.5703125" style="145" customWidth="1"/>
    <col min="7416" max="7416" width="40.28515625" style="145" customWidth="1"/>
    <col min="7417" max="7417" width="14.28515625" style="145" customWidth="1"/>
    <col min="7418" max="7418" width="13.42578125" style="145" customWidth="1"/>
    <col min="7419" max="7419" width="13.140625" style="145" customWidth="1"/>
    <col min="7420" max="7422" width="0" style="145" hidden="1" customWidth="1"/>
    <col min="7423" max="7423" width="15.140625" style="145" customWidth="1"/>
    <col min="7424" max="7670" width="9.140625" style="145"/>
    <col min="7671" max="7671" width="7.5703125" style="145" customWidth="1"/>
    <col min="7672" max="7672" width="40.28515625" style="145" customWidth="1"/>
    <col min="7673" max="7673" width="14.28515625" style="145" customWidth="1"/>
    <col min="7674" max="7674" width="13.42578125" style="145" customWidth="1"/>
    <col min="7675" max="7675" width="13.140625" style="145" customWidth="1"/>
    <col min="7676" max="7678" width="0" style="145" hidden="1" customWidth="1"/>
    <col min="7679" max="7679" width="15.140625" style="145" customWidth="1"/>
    <col min="7680" max="7926" width="9.140625" style="145"/>
    <col min="7927" max="7927" width="7.5703125" style="145" customWidth="1"/>
    <col min="7928" max="7928" width="40.28515625" style="145" customWidth="1"/>
    <col min="7929" max="7929" width="14.28515625" style="145" customWidth="1"/>
    <col min="7930" max="7930" width="13.42578125" style="145" customWidth="1"/>
    <col min="7931" max="7931" width="13.140625" style="145" customWidth="1"/>
    <col min="7932" max="7934" width="0" style="145" hidden="1" customWidth="1"/>
    <col min="7935" max="7935" width="15.140625" style="145" customWidth="1"/>
    <col min="7936" max="8182" width="9.140625" style="145"/>
    <col min="8183" max="8183" width="7.5703125" style="145" customWidth="1"/>
    <col min="8184" max="8184" width="40.28515625" style="145" customWidth="1"/>
    <col min="8185" max="8185" width="14.28515625" style="145" customWidth="1"/>
    <col min="8186" max="8186" width="13.42578125" style="145" customWidth="1"/>
    <col min="8187" max="8187" width="13.140625" style="145" customWidth="1"/>
    <col min="8188" max="8190" width="0" style="145" hidden="1" customWidth="1"/>
    <col min="8191" max="8191" width="15.140625" style="145" customWidth="1"/>
    <col min="8192" max="8438" width="9.140625" style="145"/>
    <col min="8439" max="8439" width="7.5703125" style="145" customWidth="1"/>
    <col min="8440" max="8440" width="40.28515625" style="145" customWidth="1"/>
    <col min="8441" max="8441" width="14.28515625" style="145" customWidth="1"/>
    <col min="8442" max="8442" width="13.42578125" style="145" customWidth="1"/>
    <col min="8443" max="8443" width="13.140625" style="145" customWidth="1"/>
    <col min="8444" max="8446" width="0" style="145" hidden="1" customWidth="1"/>
    <col min="8447" max="8447" width="15.140625" style="145" customWidth="1"/>
    <col min="8448" max="8694" width="9.140625" style="145"/>
    <col min="8695" max="8695" width="7.5703125" style="145" customWidth="1"/>
    <col min="8696" max="8696" width="40.28515625" style="145" customWidth="1"/>
    <col min="8697" max="8697" width="14.28515625" style="145" customWidth="1"/>
    <col min="8698" max="8698" width="13.42578125" style="145" customWidth="1"/>
    <col min="8699" max="8699" width="13.140625" style="145" customWidth="1"/>
    <col min="8700" max="8702" width="0" style="145" hidden="1" customWidth="1"/>
    <col min="8703" max="8703" width="15.140625" style="145" customWidth="1"/>
    <col min="8704" max="8950" width="9.140625" style="145"/>
    <col min="8951" max="8951" width="7.5703125" style="145" customWidth="1"/>
    <col min="8952" max="8952" width="40.28515625" style="145" customWidth="1"/>
    <col min="8953" max="8953" width="14.28515625" style="145" customWidth="1"/>
    <col min="8954" max="8954" width="13.42578125" style="145" customWidth="1"/>
    <col min="8955" max="8955" width="13.140625" style="145" customWidth="1"/>
    <col min="8956" max="8958" width="0" style="145" hidden="1" customWidth="1"/>
    <col min="8959" max="8959" width="15.140625" style="145" customWidth="1"/>
    <col min="8960" max="9206" width="9.140625" style="145"/>
    <col min="9207" max="9207" width="7.5703125" style="145" customWidth="1"/>
    <col min="9208" max="9208" width="40.28515625" style="145" customWidth="1"/>
    <col min="9209" max="9209" width="14.28515625" style="145" customWidth="1"/>
    <col min="9210" max="9210" width="13.42578125" style="145" customWidth="1"/>
    <col min="9211" max="9211" width="13.140625" style="145" customWidth="1"/>
    <col min="9212" max="9214" width="0" style="145" hidden="1" customWidth="1"/>
    <col min="9215" max="9215" width="15.140625" style="145" customWidth="1"/>
    <col min="9216" max="9462" width="9.140625" style="145"/>
    <col min="9463" max="9463" width="7.5703125" style="145" customWidth="1"/>
    <col min="9464" max="9464" width="40.28515625" style="145" customWidth="1"/>
    <col min="9465" max="9465" width="14.28515625" style="145" customWidth="1"/>
    <col min="9466" max="9466" width="13.42578125" style="145" customWidth="1"/>
    <col min="9467" max="9467" width="13.140625" style="145" customWidth="1"/>
    <col min="9468" max="9470" width="0" style="145" hidden="1" customWidth="1"/>
    <col min="9471" max="9471" width="15.140625" style="145" customWidth="1"/>
    <col min="9472" max="9718" width="9.140625" style="145"/>
    <col min="9719" max="9719" width="7.5703125" style="145" customWidth="1"/>
    <col min="9720" max="9720" width="40.28515625" style="145" customWidth="1"/>
    <col min="9721" max="9721" width="14.28515625" style="145" customWidth="1"/>
    <col min="9722" max="9722" width="13.42578125" style="145" customWidth="1"/>
    <col min="9723" max="9723" width="13.140625" style="145" customWidth="1"/>
    <col min="9724" max="9726" width="0" style="145" hidden="1" customWidth="1"/>
    <col min="9727" max="9727" width="15.140625" style="145" customWidth="1"/>
    <col min="9728" max="9974" width="9.140625" style="145"/>
    <col min="9975" max="9975" width="7.5703125" style="145" customWidth="1"/>
    <col min="9976" max="9976" width="40.28515625" style="145" customWidth="1"/>
    <col min="9977" max="9977" width="14.28515625" style="145" customWidth="1"/>
    <col min="9978" max="9978" width="13.42578125" style="145" customWidth="1"/>
    <col min="9979" max="9979" width="13.140625" style="145" customWidth="1"/>
    <col min="9980" max="9982" width="0" style="145" hidden="1" customWidth="1"/>
    <col min="9983" max="9983" width="15.140625" style="145" customWidth="1"/>
    <col min="9984" max="10230" width="9.140625" style="145"/>
    <col min="10231" max="10231" width="7.5703125" style="145" customWidth="1"/>
    <col min="10232" max="10232" width="40.28515625" style="145" customWidth="1"/>
    <col min="10233" max="10233" width="14.28515625" style="145" customWidth="1"/>
    <col min="10234" max="10234" width="13.42578125" style="145" customWidth="1"/>
    <col min="10235" max="10235" width="13.140625" style="145" customWidth="1"/>
    <col min="10236" max="10238" width="0" style="145" hidden="1" customWidth="1"/>
    <col min="10239" max="10239" width="15.140625" style="145" customWidth="1"/>
    <col min="10240" max="10486" width="9.140625" style="145"/>
    <col min="10487" max="10487" width="7.5703125" style="145" customWidth="1"/>
    <col min="10488" max="10488" width="40.28515625" style="145" customWidth="1"/>
    <col min="10489" max="10489" width="14.28515625" style="145" customWidth="1"/>
    <col min="10490" max="10490" width="13.42578125" style="145" customWidth="1"/>
    <col min="10491" max="10491" width="13.140625" style="145" customWidth="1"/>
    <col min="10492" max="10494" width="0" style="145" hidden="1" customWidth="1"/>
    <col min="10495" max="10495" width="15.140625" style="145" customWidth="1"/>
    <col min="10496" max="10742" width="9.140625" style="145"/>
    <col min="10743" max="10743" width="7.5703125" style="145" customWidth="1"/>
    <col min="10744" max="10744" width="40.28515625" style="145" customWidth="1"/>
    <col min="10745" max="10745" width="14.28515625" style="145" customWidth="1"/>
    <col min="10746" max="10746" width="13.42578125" style="145" customWidth="1"/>
    <col min="10747" max="10747" width="13.140625" style="145" customWidth="1"/>
    <col min="10748" max="10750" width="0" style="145" hidden="1" customWidth="1"/>
    <col min="10751" max="10751" width="15.140625" style="145" customWidth="1"/>
    <col min="10752" max="10998" width="9.140625" style="145"/>
    <col min="10999" max="10999" width="7.5703125" style="145" customWidth="1"/>
    <col min="11000" max="11000" width="40.28515625" style="145" customWidth="1"/>
    <col min="11001" max="11001" width="14.28515625" style="145" customWidth="1"/>
    <col min="11002" max="11002" width="13.42578125" style="145" customWidth="1"/>
    <col min="11003" max="11003" width="13.140625" style="145" customWidth="1"/>
    <col min="11004" max="11006" width="0" style="145" hidden="1" customWidth="1"/>
    <col min="11007" max="11007" width="15.140625" style="145" customWidth="1"/>
    <col min="11008" max="11254" width="9.140625" style="145"/>
    <col min="11255" max="11255" width="7.5703125" style="145" customWidth="1"/>
    <col min="11256" max="11256" width="40.28515625" style="145" customWidth="1"/>
    <col min="11257" max="11257" width="14.28515625" style="145" customWidth="1"/>
    <col min="11258" max="11258" width="13.42578125" style="145" customWidth="1"/>
    <col min="11259" max="11259" width="13.140625" style="145" customWidth="1"/>
    <col min="11260" max="11262" width="0" style="145" hidden="1" customWidth="1"/>
    <col min="11263" max="11263" width="15.140625" style="145" customWidth="1"/>
    <col min="11264" max="11510" width="9.140625" style="145"/>
    <col min="11511" max="11511" width="7.5703125" style="145" customWidth="1"/>
    <col min="11512" max="11512" width="40.28515625" style="145" customWidth="1"/>
    <col min="11513" max="11513" width="14.28515625" style="145" customWidth="1"/>
    <col min="11514" max="11514" width="13.42578125" style="145" customWidth="1"/>
    <col min="11515" max="11515" width="13.140625" style="145" customWidth="1"/>
    <col min="11516" max="11518" width="0" style="145" hidden="1" customWidth="1"/>
    <col min="11519" max="11519" width="15.140625" style="145" customWidth="1"/>
    <col min="11520" max="11766" width="9.140625" style="145"/>
    <col min="11767" max="11767" width="7.5703125" style="145" customWidth="1"/>
    <col min="11768" max="11768" width="40.28515625" style="145" customWidth="1"/>
    <col min="11769" max="11769" width="14.28515625" style="145" customWidth="1"/>
    <col min="11770" max="11770" width="13.42578125" style="145" customWidth="1"/>
    <col min="11771" max="11771" width="13.140625" style="145" customWidth="1"/>
    <col min="11772" max="11774" width="0" style="145" hidden="1" customWidth="1"/>
    <col min="11775" max="11775" width="15.140625" style="145" customWidth="1"/>
    <col min="11776" max="12022" width="9.140625" style="145"/>
    <col min="12023" max="12023" width="7.5703125" style="145" customWidth="1"/>
    <col min="12024" max="12024" width="40.28515625" style="145" customWidth="1"/>
    <col min="12025" max="12025" width="14.28515625" style="145" customWidth="1"/>
    <col min="12026" max="12026" width="13.42578125" style="145" customWidth="1"/>
    <col min="12027" max="12027" width="13.140625" style="145" customWidth="1"/>
    <col min="12028" max="12030" width="0" style="145" hidden="1" customWidth="1"/>
    <col min="12031" max="12031" width="15.140625" style="145" customWidth="1"/>
    <col min="12032" max="12278" width="9.140625" style="145"/>
    <col min="12279" max="12279" width="7.5703125" style="145" customWidth="1"/>
    <col min="12280" max="12280" width="40.28515625" style="145" customWidth="1"/>
    <col min="12281" max="12281" width="14.28515625" style="145" customWidth="1"/>
    <col min="12282" max="12282" width="13.42578125" style="145" customWidth="1"/>
    <col min="12283" max="12283" width="13.140625" style="145" customWidth="1"/>
    <col min="12284" max="12286" width="0" style="145" hidden="1" customWidth="1"/>
    <col min="12287" max="12287" width="15.140625" style="145" customWidth="1"/>
    <col min="12288" max="12534" width="9.140625" style="145"/>
    <col min="12535" max="12535" width="7.5703125" style="145" customWidth="1"/>
    <col min="12536" max="12536" width="40.28515625" style="145" customWidth="1"/>
    <col min="12537" max="12537" width="14.28515625" style="145" customWidth="1"/>
    <col min="12538" max="12538" width="13.42578125" style="145" customWidth="1"/>
    <col min="12539" max="12539" width="13.140625" style="145" customWidth="1"/>
    <col min="12540" max="12542" width="0" style="145" hidden="1" customWidth="1"/>
    <col min="12543" max="12543" width="15.140625" style="145" customWidth="1"/>
    <col min="12544" max="12790" width="9.140625" style="145"/>
    <col min="12791" max="12791" width="7.5703125" style="145" customWidth="1"/>
    <col min="12792" max="12792" width="40.28515625" style="145" customWidth="1"/>
    <col min="12793" max="12793" width="14.28515625" style="145" customWidth="1"/>
    <col min="12794" max="12794" width="13.42578125" style="145" customWidth="1"/>
    <col min="12795" max="12795" width="13.140625" style="145" customWidth="1"/>
    <col min="12796" max="12798" width="0" style="145" hidden="1" customWidth="1"/>
    <col min="12799" max="12799" width="15.140625" style="145" customWidth="1"/>
    <col min="12800" max="13046" width="9.140625" style="145"/>
    <col min="13047" max="13047" width="7.5703125" style="145" customWidth="1"/>
    <col min="13048" max="13048" width="40.28515625" style="145" customWidth="1"/>
    <col min="13049" max="13049" width="14.28515625" style="145" customWidth="1"/>
    <col min="13050" max="13050" width="13.42578125" style="145" customWidth="1"/>
    <col min="13051" max="13051" width="13.140625" style="145" customWidth="1"/>
    <col min="13052" max="13054" width="0" style="145" hidden="1" customWidth="1"/>
    <col min="13055" max="13055" width="15.140625" style="145" customWidth="1"/>
    <col min="13056" max="13302" width="9.140625" style="145"/>
    <col min="13303" max="13303" width="7.5703125" style="145" customWidth="1"/>
    <col min="13304" max="13304" width="40.28515625" style="145" customWidth="1"/>
    <col min="13305" max="13305" width="14.28515625" style="145" customWidth="1"/>
    <col min="13306" max="13306" width="13.42578125" style="145" customWidth="1"/>
    <col min="13307" max="13307" width="13.140625" style="145" customWidth="1"/>
    <col min="13308" max="13310" width="0" style="145" hidden="1" customWidth="1"/>
    <col min="13311" max="13311" width="15.140625" style="145" customWidth="1"/>
    <col min="13312" max="13558" width="9.140625" style="145"/>
    <col min="13559" max="13559" width="7.5703125" style="145" customWidth="1"/>
    <col min="13560" max="13560" width="40.28515625" style="145" customWidth="1"/>
    <col min="13561" max="13561" width="14.28515625" style="145" customWidth="1"/>
    <col min="13562" max="13562" width="13.42578125" style="145" customWidth="1"/>
    <col min="13563" max="13563" width="13.140625" style="145" customWidth="1"/>
    <col min="13564" max="13566" width="0" style="145" hidden="1" customWidth="1"/>
    <col min="13567" max="13567" width="15.140625" style="145" customWidth="1"/>
    <col min="13568" max="13814" width="9.140625" style="145"/>
    <col min="13815" max="13815" width="7.5703125" style="145" customWidth="1"/>
    <col min="13816" max="13816" width="40.28515625" style="145" customWidth="1"/>
    <col min="13817" max="13817" width="14.28515625" style="145" customWidth="1"/>
    <col min="13818" max="13818" width="13.42578125" style="145" customWidth="1"/>
    <col min="13819" max="13819" width="13.140625" style="145" customWidth="1"/>
    <col min="13820" max="13822" width="0" style="145" hidden="1" customWidth="1"/>
    <col min="13823" max="13823" width="15.140625" style="145" customWidth="1"/>
    <col min="13824" max="14070" width="9.140625" style="145"/>
    <col min="14071" max="14071" width="7.5703125" style="145" customWidth="1"/>
    <col min="14072" max="14072" width="40.28515625" style="145" customWidth="1"/>
    <col min="14073" max="14073" width="14.28515625" style="145" customWidth="1"/>
    <col min="14074" max="14074" width="13.42578125" style="145" customWidth="1"/>
    <col min="14075" max="14075" width="13.140625" style="145" customWidth="1"/>
    <col min="14076" max="14078" width="0" style="145" hidden="1" customWidth="1"/>
    <col min="14079" max="14079" width="15.140625" style="145" customWidth="1"/>
    <col min="14080" max="14326" width="9.140625" style="145"/>
    <col min="14327" max="14327" width="7.5703125" style="145" customWidth="1"/>
    <col min="14328" max="14328" width="40.28515625" style="145" customWidth="1"/>
    <col min="14329" max="14329" width="14.28515625" style="145" customWidth="1"/>
    <col min="14330" max="14330" width="13.42578125" style="145" customWidth="1"/>
    <col min="14331" max="14331" width="13.140625" style="145" customWidth="1"/>
    <col min="14332" max="14334" width="0" style="145" hidden="1" customWidth="1"/>
    <col min="14335" max="14335" width="15.140625" style="145" customWidth="1"/>
    <col min="14336" max="14582" width="9.140625" style="145"/>
    <col min="14583" max="14583" width="7.5703125" style="145" customWidth="1"/>
    <col min="14584" max="14584" width="40.28515625" style="145" customWidth="1"/>
    <col min="14585" max="14585" width="14.28515625" style="145" customWidth="1"/>
    <col min="14586" max="14586" width="13.42578125" style="145" customWidth="1"/>
    <col min="14587" max="14587" width="13.140625" style="145" customWidth="1"/>
    <col min="14588" max="14590" width="0" style="145" hidden="1" customWidth="1"/>
    <col min="14591" max="14591" width="15.140625" style="145" customWidth="1"/>
    <col min="14592" max="14838" width="9.140625" style="145"/>
    <col min="14839" max="14839" width="7.5703125" style="145" customWidth="1"/>
    <col min="14840" max="14840" width="40.28515625" style="145" customWidth="1"/>
    <col min="14841" max="14841" width="14.28515625" style="145" customWidth="1"/>
    <col min="14842" max="14842" width="13.42578125" style="145" customWidth="1"/>
    <col min="14843" max="14843" width="13.140625" style="145" customWidth="1"/>
    <col min="14844" max="14846" width="0" style="145" hidden="1" customWidth="1"/>
    <col min="14847" max="14847" width="15.140625" style="145" customWidth="1"/>
    <col min="14848" max="15094" width="9.140625" style="145"/>
    <col min="15095" max="15095" width="7.5703125" style="145" customWidth="1"/>
    <col min="15096" max="15096" width="40.28515625" style="145" customWidth="1"/>
    <col min="15097" max="15097" width="14.28515625" style="145" customWidth="1"/>
    <col min="15098" max="15098" width="13.42578125" style="145" customWidth="1"/>
    <col min="15099" max="15099" width="13.140625" style="145" customWidth="1"/>
    <col min="15100" max="15102" width="0" style="145" hidden="1" customWidth="1"/>
    <col min="15103" max="15103" width="15.140625" style="145" customWidth="1"/>
    <col min="15104" max="15350" width="9.140625" style="145"/>
    <col min="15351" max="15351" width="7.5703125" style="145" customWidth="1"/>
    <col min="15352" max="15352" width="40.28515625" style="145" customWidth="1"/>
    <col min="15353" max="15353" width="14.28515625" style="145" customWidth="1"/>
    <col min="15354" max="15354" width="13.42578125" style="145" customWidth="1"/>
    <col min="15355" max="15355" width="13.140625" style="145" customWidth="1"/>
    <col min="15356" max="15358" width="0" style="145" hidden="1" customWidth="1"/>
    <col min="15359" max="15359" width="15.140625" style="145" customWidth="1"/>
    <col min="15360" max="15606" width="9.140625" style="145"/>
    <col min="15607" max="15607" width="7.5703125" style="145" customWidth="1"/>
    <col min="15608" max="15608" width="40.28515625" style="145" customWidth="1"/>
    <col min="15609" max="15609" width="14.28515625" style="145" customWidth="1"/>
    <col min="15610" max="15610" width="13.42578125" style="145" customWidth="1"/>
    <col min="15611" max="15611" width="13.140625" style="145" customWidth="1"/>
    <col min="15612" max="15614" width="0" style="145" hidden="1" customWidth="1"/>
    <col min="15615" max="15615" width="15.140625" style="145" customWidth="1"/>
    <col min="15616" max="15862" width="9.140625" style="145"/>
    <col min="15863" max="15863" width="7.5703125" style="145" customWidth="1"/>
    <col min="15864" max="15864" width="40.28515625" style="145" customWidth="1"/>
    <col min="15865" max="15865" width="14.28515625" style="145" customWidth="1"/>
    <col min="15866" max="15866" width="13.42578125" style="145" customWidth="1"/>
    <col min="15867" max="15867" width="13.140625" style="145" customWidth="1"/>
    <col min="15868" max="15870" width="0" style="145" hidden="1" customWidth="1"/>
    <col min="15871" max="15871" width="15.140625" style="145" customWidth="1"/>
    <col min="15872" max="16118" width="9.140625" style="145"/>
    <col min="16119" max="16119" width="7.5703125" style="145" customWidth="1"/>
    <col min="16120" max="16120" width="40.28515625" style="145" customWidth="1"/>
    <col min="16121" max="16121" width="14.28515625" style="145" customWidth="1"/>
    <col min="16122" max="16122" width="13.42578125" style="145" customWidth="1"/>
    <col min="16123" max="16123" width="13.140625" style="145" customWidth="1"/>
    <col min="16124" max="16126" width="0" style="145" hidden="1" customWidth="1"/>
    <col min="16127" max="16127" width="15.140625" style="145" customWidth="1"/>
    <col min="16128" max="16384" width="9.140625" style="145"/>
  </cols>
  <sheetData>
    <row r="1" spans="1:9" x14ac:dyDescent="0.2">
      <c r="A1" s="239"/>
      <c r="C1" s="146"/>
      <c r="D1" s="146"/>
      <c r="E1" s="146"/>
      <c r="F1" s="239"/>
      <c r="I1" s="1" t="s">
        <v>1046</v>
      </c>
    </row>
    <row r="2" spans="1:9" x14ac:dyDescent="0.2">
      <c r="A2" s="239"/>
      <c r="C2" s="146"/>
      <c r="D2" s="146"/>
      <c r="E2" s="146"/>
      <c r="F2" s="239"/>
      <c r="I2" s="1" t="s">
        <v>1176</v>
      </c>
    </row>
    <row r="3" spans="1:9" s="240" customFormat="1" x14ac:dyDescent="0.2">
      <c r="A3" s="239"/>
      <c r="C3" s="146"/>
      <c r="D3" s="146"/>
      <c r="E3" s="146"/>
      <c r="F3" s="239"/>
      <c r="I3" s="239" t="s">
        <v>395</v>
      </c>
    </row>
    <row r="4" spans="1:9" s="240" customFormat="1" x14ac:dyDescent="0.2">
      <c r="I4" s="1" t="s">
        <v>279</v>
      </c>
    </row>
    <row r="5" spans="1:9" s="240" customFormat="1" ht="15" x14ac:dyDescent="0.25">
      <c r="B5" s="286" t="s">
        <v>1047</v>
      </c>
      <c r="C5" s="286"/>
      <c r="D5" s="286"/>
      <c r="E5" s="286"/>
    </row>
    <row r="6" spans="1:9" s="240" customFormat="1" ht="15" x14ac:dyDescent="0.25">
      <c r="B6" s="208" t="s">
        <v>1048</v>
      </c>
      <c r="C6" s="286"/>
      <c r="D6" s="286"/>
      <c r="E6" s="286"/>
    </row>
    <row r="7" spans="1:9" s="240" customFormat="1" ht="15" x14ac:dyDescent="0.25">
      <c r="B7" s="208" t="s">
        <v>1049</v>
      </c>
      <c r="C7" s="241"/>
      <c r="D7" s="241"/>
      <c r="E7" s="241"/>
    </row>
    <row r="8" spans="1:9" s="240" customFormat="1" ht="12" x14ac:dyDescent="0.2">
      <c r="A8" s="242"/>
      <c r="B8" s="242"/>
      <c r="C8" s="242"/>
      <c r="D8" s="242"/>
      <c r="E8" s="242"/>
    </row>
    <row r="9" spans="1:9" s="240" customFormat="1" ht="12.75" customHeight="1" x14ac:dyDescent="0.2">
      <c r="A9" s="580" t="s">
        <v>1050</v>
      </c>
      <c r="B9" s="583" t="s">
        <v>1051</v>
      </c>
      <c r="C9" s="243"/>
      <c r="D9" s="244" t="s">
        <v>1052</v>
      </c>
      <c r="E9" s="244"/>
      <c r="F9" s="244" t="s">
        <v>1052</v>
      </c>
      <c r="G9" s="243"/>
      <c r="H9" s="245" t="s">
        <v>1052</v>
      </c>
      <c r="I9" s="245" t="s">
        <v>1052</v>
      </c>
    </row>
    <row r="10" spans="1:9" s="240" customFormat="1" ht="13.5" customHeight="1" x14ac:dyDescent="0.2">
      <c r="A10" s="581"/>
      <c r="B10" s="584"/>
      <c r="C10" s="246" t="s">
        <v>1053</v>
      </c>
      <c r="D10" s="247" t="s">
        <v>1054</v>
      </c>
      <c r="E10" s="248" t="s">
        <v>1055</v>
      </c>
      <c r="F10" s="249" t="s">
        <v>1054</v>
      </c>
      <c r="G10" s="246" t="s">
        <v>1053</v>
      </c>
      <c r="H10" s="246" t="s">
        <v>1056</v>
      </c>
      <c r="I10" s="246" t="s">
        <v>1056</v>
      </c>
    </row>
    <row r="11" spans="1:9" s="240" customFormat="1" x14ac:dyDescent="0.2">
      <c r="A11" s="581"/>
      <c r="B11" s="584"/>
      <c r="C11" s="246" t="s">
        <v>1057</v>
      </c>
      <c r="D11" s="247" t="s">
        <v>1058</v>
      </c>
      <c r="E11" s="248" t="s">
        <v>1059</v>
      </c>
      <c r="F11" s="247" t="s">
        <v>1058</v>
      </c>
      <c r="G11" s="246" t="s">
        <v>1057</v>
      </c>
      <c r="H11" s="246" t="s">
        <v>1060</v>
      </c>
      <c r="I11" s="246" t="s">
        <v>1061</v>
      </c>
    </row>
    <row r="12" spans="1:9" s="240" customFormat="1" ht="12" x14ac:dyDescent="0.2">
      <c r="A12" s="582"/>
      <c r="B12" s="585"/>
      <c r="C12" s="251" t="s">
        <v>1062</v>
      </c>
      <c r="D12" s="252" t="s">
        <v>1063</v>
      </c>
      <c r="E12" s="252"/>
      <c r="F12" s="252" t="s">
        <v>1063</v>
      </c>
      <c r="G12" s="251" t="s">
        <v>1064</v>
      </c>
      <c r="H12" s="251" t="s">
        <v>1063</v>
      </c>
      <c r="I12" s="251" t="s">
        <v>1063</v>
      </c>
    </row>
    <row r="13" spans="1:9" s="240" customFormat="1" ht="12" x14ac:dyDescent="0.2">
      <c r="A13" s="253">
        <v>1</v>
      </c>
      <c r="B13" s="253">
        <v>2</v>
      </c>
      <c r="C13" s="253">
        <v>3</v>
      </c>
      <c r="D13" s="253">
        <v>4</v>
      </c>
      <c r="E13" s="253">
        <v>5</v>
      </c>
      <c r="F13" s="253">
        <v>6</v>
      </c>
      <c r="G13" s="253">
        <v>7</v>
      </c>
      <c r="H13" s="253">
        <v>8</v>
      </c>
      <c r="I13" s="253" t="s">
        <v>1065</v>
      </c>
    </row>
    <row r="14" spans="1:9" s="240" customFormat="1" ht="12" x14ac:dyDescent="0.2">
      <c r="A14" s="254" t="s">
        <v>1017</v>
      </c>
      <c r="B14" s="254"/>
      <c r="C14" s="255">
        <f>SUM(C15:C40)</f>
        <v>6339</v>
      </c>
      <c r="D14" s="255">
        <f>SUM(D15:D38)</f>
        <v>482064</v>
      </c>
      <c r="E14" s="255"/>
      <c r="F14" s="255">
        <f t="shared" ref="F14:I14" si="0">SUM(F15:F38)</f>
        <v>482064</v>
      </c>
      <c r="G14" s="255">
        <f t="shared" si="0"/>
        <v>6451</v>
      </c>
      <c r="H14" s="255">
        <f t="shared" si="0"/>
        <v>273742</v>
      </c>
      <c r="I14" s="255">
        <f t="shared" si="0"/>
        <v>755806</v>
      </c>
    </row>
    <row r="15" spans="1:9" s="240" customFormat="1" ht="12.75" customHeight="1" x14ac:dyDescent="0.2">
      <c r="A15" s="256">
        <v>1</v>
      </c>
      <c r="B15" s="257" t="s">
        <v>1066</v>
      </c>
      <c r="C15" s="258">
        <v>14</v>
      </c>
      <c r="D15" s="259">
        <v>5078</v>
      </c>
      <c r="E15" s="260"/>
      <c r="F15" s="261">
        <v>5078</v>
      </c>
      <c r="G15" s="258"/>
      <c r="H15" s="262"/>
      <c r="I15" s="259">
        <f t="shared" ref="I15:I38" si="1">F15+H15</f>
        <v>5078</v>
      </c>
    </row>
    <row r="16" spans="1:9" s="240" customFormat="1" x14ac:dyDescent="0.2">
      <c r="A16" s="256">
        <v>2</v>
      </c>
      <c r="B16" s="263" t="s">
        <v>1067</v>
      </c>
      <c r="C16" s="264">
        <v>124</v>
      </c>
      <c r="D16" s="259">
        <v>13041</v>
      </c>
      <c r="E16" s="260"/>
      <c r="F16" s="261">
        <v>13041</v>
      </c>
      <c r="G16" s="264">
        <v>126</v>
      </c>
      <c r="H16" s="259">
        <v>2773</v>
      </c>
      <c r="I16" s="259">
        <f t="shared" si="1"/>
        <v>15814</v>
      </c>
    </row>
    <row r="17" spans="1:9" s="240" customFormat="1" x14ac:dyDescent="0.2">
      <c r="A17" s="256">
        <v>3</v>
      </c>
      <c r="B17" s="263" t="s">
        <v>1068</v>
      </c>
      <c r="C17" s="265">
        <v>92</v>
      </c>
      <c r="D17" s="266">
        <v>8463</v>
      </c>
      <c r="E17" s="261"/>
      <c r="F17" s="261">
        <v>8463</v>
      </c>
      <c r="G17" s="265">
        <v>110</v>
      </c>
      <c r="H17" s="259">
        <v>3471</v>
      </c>
      <c r="I17" s="259">
        <f t="shared" si="1"/>
        <v>11934</v>
      </c>
    </row>
    <row r="18" spans="1:9" s="240" customFormat="1" x14ac:dyDescent="0.2">
      <c r="A18" s="256">
        <v>4</v>
      </c>
      <c r="B18" s="263" t="s">
        <v>1069</v>
      </c>
      <c r="C18" s="265">
        <v>102</v>
      </c>
      <c r="D18" s="266">
        <v>10176</v>
      </c>
      <c r="E18" s="261"/>
      <c r="F18" s="261">
        <v>10176</v>
      </c>
      <c r="G18" s="265">
        <v>100</v>
      </c>
      <c r="H18" s="259">
        <v>4547</v>
      </c>
      <c r="I18" s="259">
        <f t="shared" si="1"/>
        <v>14723</v>
      </c>
    </row>
    <row r="19" spans="1:9" s="240" customFormat="1" x14ac:dyDescent="0.2">
      <c r="A19" s="256">
        <v>5</v>
      </c>
      <c r="B19" s="263" t="s">
        <v>1070</v>
      </c>
      <c r="C19" s="265">
        <v>84</v>
      </c>
      <c r="D19" s="266">
        <v>10495</v>
      </c>
      <c r="E19" s="261"/>
      <c r="F19" s="261">
        <v>10495</v>
      </c>
      <c r="G19" s="265">
        <v>90</v>
      </c>
      <c r="H19" s="259">
        <v>3497</v>
      </c>
      <c r="I19" s="259">
        <f t="shared" si="1"/>
        <v>13992</v>
      </c>
    </row>
    <row r="20" spans="1:9" s="240" customFormat="1" x14ac:dyDescent="0.2">
      <c r="A20" s="256">
        <v>6</v>
      </c>
      <c r="B20" s="263" t="s">
        <v>1071</v>
      </c>
      <c r="C20" s="265">
        <v>72</v>
      </c>
      <c r="D20" s="266">
        <v>8971</v>
      </c>
      <c r="E20" s="261"/>
      <c r="F20" s="261">
        <v>8971</v>
      </c>
      <c r="G20" s="265">
        <v>70</v>
      </c>
      <c r="H20" s="259">
        <v>4472</v>
      </c>
      <c r="I20" s="259">
        <f t="shared" si="1"/>
        <v>13443</v>
      </c>
    </row>
    <row r="21" spans="1:9" s="240" customFormat="1" x14ac:dyDescent="0.2">
      <c r="A21" s="256">
        <v>7</v>
      </c>
      <c r="B21" s="263" t="s">
        <v>1072</v>
      </c>
      <c r="C21" s="265">
        <v>308</v>
      </c>
      <c r="D21" s="266">
        <v>20983</v>
      </c>
      <c r="E21" s="261"/>
      <c r="F21" s="261">
        <v>20983</v>
      </c>
      <c r="G21" s="265">
        <v>310</v>
      </c>
      <c r="H21" s="259">
        <v>11446</v>
      </c>
      <c r="I21" s="259">
        <f t="shared" si="1"/>
        <v>32429</v>
      </c>
    </row>
    <row r="22" spans="1:9" s="240" customFormat="1" x14ac:dyDescent="0.2">
      <c r="A22" s="256">
        <v>8</v>
      </c>
      <c r="B22" s="263" t="s">
        <v>1073</v>
      </c>
      <c r="C22" s="265">
        <v>99</v>
      </c>
      <c r="D22" s="266">
        <v>9479</v>
      </c>
      <c r="E22" s="261"/>
      <c r="F22" s="261">
        <v>9479</v>
      </c>
      <c r="G22" s="265">
        <v>103</v>
      </c>
      <c r="H22" s="259">
        <v>2834</v>
      </c>
      <c r="I22" s="259">
        <f t="shared" si="1"/>
        <v>12313</v>
      </c>
    </row>
    <row r="23" spans="1:9" s="240" customFormat="1" ht="12.75" customHeight="1" x14ac:dyDescent="0.2">
      <c r="A23" s="256">
        <v>9</v>
      </c>
      <c r="B23" s="263" t="s">
        <v>1074</v>
      </c>
      <c r="C23" s="265">
        <v>91</v>
      </c>
      <c r="D23" s="266">
        <v>6771</v>
      </c>
      <c r="E23" s="261"/>
      <c r="F23" s="261">
        <v>6771</v>
      </c>
      <c r="G23" s="265">
        <v>93</v>
      </c>
      <c r="H23" s="259">
        <v>2714</v>
      </c>
      <c r="I23" s="259">
        <f t="shared" si="1"/>
        <v>9485</v>
      </c>
    </row>
    <row r="24" spans="1:9" s="240" customFormat="1" ht="12.75" customHeight="1" x14ac:dyDescent="0.2">
      <c r="A24" s="256">
        <v>10</v>
      </c>
      <c r="B24" s="263" t="s">
        <v>1075</v>
      </c>
      <c r="C24" s="265">
        <v>54</v>
      </c>
      <c r="D24" s="266">
        <v>3385</v>
      </c>
      <c r="E24" s="261"/>
      <c r="F24" s="261">
        <v>3385</v>
      </c>
      <c r="G24" s="265"/>
      <c r="H24" s="259"/>
      <c r="I24" s="259">
        <f t="shared" si="1"/>
        <v>3385</v>
      </c>
    </row>
    <row r="25" spans="1:9" s="240" customFormat="1" ht="14.25" customHeight="1" x14ac:dyDescent="0.2">
      <c r="A25" s="256">
        <v>11</v>
      </c>
      <c r="B25" s="263" t="s">
        <v>1076</v>
      </c>
      <c r="C25" s="265">
        <v>243</v>
      </c>
      <c r="D25" s="266">
        <v>20306</v>
      </c>
      <c r="E25" s="261"/>
      <c r="F25" s="261">
        <v>20306</v>
      </c>
      <c r="G25" s="265">
        <v>245</v>
      </c>
      <c r="H25" s="259">
        <v>11353</v>
      </c>
      <c r="I25" s="259">
        <f t="shared" si="1"/>
        <v>31659</v>
      </c>
    </row>
    <row r="26" spans="1:9" s="240" customFormat="1" ht="12.75" customHeight="1" x14ac:dyDescent="0.2">
      <c r="A26" s="256">
        <v>12</v>
      </c>
      <c r="B26" s="263" t="s">
        <v>1077</v>
      </c>
      <c r="C26" s="265">
        <v>142</v>
      </c>
      <c r="D26" s="266">
        <v>21159</v>
      </c>
      <c r="E26" s="261"/>
      <c r="F26" s="261">
        <v>21159</v>
      </c>
      <c r="G26" s="265">
        <v>118</v>
      </c>
      <c r="H26" s="259">
        <v>10893</v>
      </c>
      <c r="I26" s="259">
        <f t="shared" si="1"/>
        <v>32052</v>
      </c>
    </row>
    <row r="27" spans="1:9" s="240" customFormat="1" x14ac:dyDescent="0.2">
      <c r="A27" s="256">
        <v>13</v>
      </c>
      <c r="B27" s="263" t="s">
        <v>1078</v>
      </c>
      <c r="C27" s="267">
        <v>402</v>
      </c>
      <c r="D27" s="268">
        <v>23356</v>
      </c>
      <c r="E27" s="269"/>
      <c r="F27" s="261">
        <v>23356</v>
      </c>
      <c r="G27" s="267">
        <v>425</v>
      </c>
      <c r="H27" s="259">
        <v>15889</v>
      </c>
      <c r="I27" s="259">
        <f t="shared" si="1"/>
        <v>39245</v>
      </c>
    </row>
    <row r="28" spans="1:9" s="240" customFormat="1" x14ac:dyDescent="0.2">
      <c r="A28" s="256">
        <v>14</v>
      </c>
      <c r="B28" s="270" t="s">
        <v>1079</v>
      </c>
      <c r="C28" s="271">
        <v>199</v>
      </c>
      <c r="D28" s="268">
        <v>13203</v>
      </c>
      <c r="E28" s="269"/>
      <c r="F28" s="261">
        <v>13203</v>
      </c>
      <c r="G28" s="271">
        <v>188</v>
      </c>
      <c r="H28" s="259">
        <v>6527</v>
      </c>
      <c r="I28" s="259">
        <f t="shared" si="1"/>
        <v>19730</v>
      </c>
    </row>
    <row r="29" spans="1:9" s="240" customFormat="1" x14ac:dyDescent="0.2">
      <c r="A29" s="256">
        <v>15</v>
      </c>
      <c r="B29" s="272" t="s">
        <v>1080</v>
      </c>
      <c r="C29" s="267">
        <v>446</v>
      </c>
      <c r="D29" s="268">
        <v>30130</v>
      </c>
      <c r="E29" s="269"/>
      <c r="F29" s="261">
        <v>30130</v>
      </c>
      <c r="G29" s="267">
        <v>433</v>
      </c>
      <c r="H29" s="259">
        <v>15014</v>
      </c>
      <c r="I29" s="259">
        <f t="shared" si="1"/>
        <v>45144</v>
      </c>
    </row>
    <row r="30" spans="1:9" s="240" customFormat="1" x14ac:dyDescent="0.2">
      <c r="A30" s="256">
        <v>16</v>
      </c>
      <c r="B30" s="273" t="s">
        <v>1081</v>
      </c>
      <c r="C30" s="267">
        <v>505</v>
      </c>
      <c r="D30" s="268">
        <v>11849</v>
      </c>
      <c r="E30" s="269"/>
      <c r="F30" s="261">
        <v>11849</v>
      </c>
      <c r="G30" s="267">
        <v>583</v>
      </c>
      <c r="H30" s="259">
        <v>5463</v>
      </c>
      <c r="I30" s="259">
        <f t="shared" si="1"/>
        <v>17312</v>
      </c>
    </row>
    <row r="31" spans="1:9" s="240" customFormat="1" x14ac:dyDescent="0.2">
      <c r="A31" s="256">
        <v>17</v>
      </c>
      <c r="B31" s="273" t="s">
        <v>1082</v>
      </c>
      <c r="C31" s="265">
        <v>874</v>
      </c>
      <c r="D31" s="266">
        <v>51797</v>
      </c>
      <c r="E31" s="261"/>
      <c r="F31" s="261">
        <v>51797</v>
      </c>
      <c r="G31" s="265">
        <v>880</v>
      </c>
      <c r="H31" s="259">
        <v>27653</v>
      </c>
      <c r="I31" s="259">
        <f t="shared" si="1"/>
        <v>79450</v>
      </c>
    </row>
    <row r="32" spans="1:9" s="240" customFormat="1" x14ac:dyDescent="0.2">
      <c r="A32" s="256">
        <v>18</v>
      </c>
      <c r="B32" s="272" t="s">
        <v>1083</v>
      </c>
      <c r="C32" s="265">
        <v>529</v>
      </c>
      <c r="D32" s="266">
        <v>34192</v>
      </c>
      <c r="E32" s="261"/>
      <c r="F32" s="261">
        <v>34192</v>
      </c>
      <c r="G32" s="265">
        <v>527</v>
      </c>
      <c r="H32" s="259">
        <v>14635</v>
      </c>
      <c r="I32" s="259">
        <f t="shared" si="1"/>
        <v>48827</v>
      </c>
    </row>
    <row r="33" spans="1:9" s="240" customFormat="1" x14ac:dyDescent="0.2">
      <c r="A33" s="256">
        <v>19</v>
      </c>
      <c r="B33" s="273" t="s">
        <v>1084</v>
      </c>
      <c r="C33" s="265">
        <v>583</v>
      </c>
      <c r="D33" s="266">
        <v>30130</v>
      </c>
      <c r="E33" s="261"/>
      <c r="F33" s="261">
        <v>30130</v>
      </c>
      <c r="G33" s="265">
        <v>592</v>
      </c>
      <c r="H33" s="259">
        <v>18283</v>
      </c>
      <c r="I33" s="259">
        <f t="shared" si="1"/>
        <v>48413</v>
      </c>
    </row>
    <row r="34" spans="1:9" s="240" customFormat="1" x14ac:dyDescent="0.2">
      <c r="A34" s="256">
        <v>20</v>
      </c>
      <c r="B34" s="274" t="s">
        <v>1085</v>
      </c>
      <c r="C34" s="267">
        <v>632</v>
      </c>
      <c r="D34" s="268">
        <v>33177</v>
      </c>
      <c r="E34" s="269"/>
      <c r="F34" s="261">
        <v>33177</v>
      </c>
      <c r="G34" s="267">
        <v>643</v>
      </c>
      <c r="H34" s="259">
        <v>13744</v>
      </c>
      <c r="I34" s="259">
        <f t="shared" si="1"/>
        <v>46921</v>
      </c>
    </row>
    <row r="35" spans="1:9" s="240" customFormat="1" x14ac:dyDescent="0.2">
      <c r="A35" s="256">
        <v>21</v>
      </c>
      <c r="B35" s="274" t="s">
        <v>1086</v>
      </c>
      <c r="C35" s="275">
        <v>559</v>
      </c>
      <c r="D35" s="276">
        <v>16426</v>
      </c>
      <c r="E35" s="277"/>
      <c r="F35" s="261">
        <v>16426</v>
      </c>
      <c r="G35" s="275">
        <v>573</v>
      </c>
      <c r="H35" s="259">
        <v>8178</v>
      </c>
      <c r="I35" s="259">
        <f t="shared" si="1"/>
        <v>24604</v>
      </c>
    </row>
    <row r="36" spans="1:9" s="240" customFormat="1" x14ac:dyDescent="0.2">
      <c r="A36" s="256">
        <v>22</v>
      </c>
      <c r="B36" s="272" t="s">
        <v>1087</v>
      </c>
      <c r="C36" s="265">
        <v>185</v>
      </c>
      <c r="D36" s="266">
        <v>7109</v>
      </c>
      <c r="E36" s="261"/>
      <c r="F36" s="261">
        <v>7109</v>
      </c>
      <c r="G36" s="265">
        <v>242</v>
      </c>
      <c r="H36" s="259">
        <v>4331</v>
      </c>
      <c r="I36" s="259">
        <f t="shared" si="1"/>
        <v>11440</v>
      </c>
    </row>
    <row r="37" spans="1:9" s="240" customFormat="1" x14ac:dyDescent="0.2">
      <c r="A37" s="256">
        <v>23</v>
      </c>
      <c r="B37" s="278" t="s">
        <v>1088</v>
      </c>
      <c r="C37" s="265"/>
      <c r="D37" s="266">
        <f>56165+1</f>
        <v>56166</v>
      </c>
      <c r="E37" s="261">
        <v>1703</v>
      </c>
      <c r="F37" s="261">
        <v>57869</v>
      </c>
      <c r="G37" s="265"/>
      <c r="H37" s="259">
        <v>67724</v>
      </c>
      <c r="I37" s="259">
        <f t="shared" si="1"/>
        <v>125593</v>
      </c>
    </row>
    <row r="38" spans="1:9" s="240" customFormat="1" ht="25.5" x14ac:dyDescent="0.2">
      <c r="A38" s="279">
        <v>24</v>
      </c>
      <c r="B38" s="280" t="s">
        <v>1089</v>
      </c>
      <c r="C38" s="281"/>
      <c r="D38" s="282">
        <v>36222</v>
      </c>
      <c r="E38" s="282">
        <v>-1703</v>
      </c>
      <c r="F38" s="282">
        <v>34519</v>
      </c>
      <c r="G38" s="281"/>
      <c r="H38" s="283">
        <v>18301</v>
      </c>
      <c r="I38" s="283">
        <f t="shared" si="1"/>
        <v>52820</v>
      </c>
    </row>
    <row r="39" spans="1:9" s="240" customFormat="1" ht="12" x14ac:dyDescent="0.2"/>
    <row r="40" spans="1:9" s="240" customFormat="1" ht="12" x14ac:dyDescent="0.2"/>
    <row r="41" spans="1:9" s="240" customFormat="1" ht="12" x14ac:dyDescent="0.2"/>
    <row r="42" spans="1:9" s="240" customFormat="1" ht="12" x14ac:dyDescent="0.2"/>
    <row r="43" spans="1:9" s="240" customFormat="1" ht="12" x14ac:dyDescent="0.2"/>
    <row r="44" spans="1:9" s="240" customFormat="1" ht="12" x14ac:dyDescent="0.2"/>
    <row r="45" spans="1:9" s="240" customFormat="1" x14ac:dyDescent="0.2">
      <c r="A45" s="284"/>
      <c r="B45" s="285"/>
    </row>
    <row r="46" spans="1:9" s="240" customFormat="1" x14ac:dyDescent="0.2">
      <c r="A46" s="284"/>
      <c r="B46" s="285"/>
    </row>
    <row r="47" spans="1:9" s="240" customFormat="1" ht="12" x14ac:dyDescent="0.2"/>
    <row r="48" spans="1:9" s="240" customFormat="1" ht="12" x14ac:dyDescent="0.2"/>
    <row r="49" s="240" customFormat="1" ht="12" x14ac:dyDescent="0.2"/>
    <row r="50" s="240" customFormat="1" ht="12" x14ac:dyDescent="0.2"/>
    <row r="51" s="240" customFormat="1" ht="12" x14ac:dyDescent="0.2"/>
    <row r="52" s="240" customFormat="1" ht="12" x14ac:dyDescent="0.2"/>
    <row r="53" s="240" customFormat="1" ht="12" x14ac:dyDescent="0.2"/>
    <row r="54" s="240" customFormat="1" ht="12" x14ac:dyDescent="0.2"/>
    <row r="55" s="240" customFormat="1" ht="12" x14ac:dyDescent="0.2"/>
    <row r="56" s="240" customFormat="1" ht="12" x14ac:dyDescent="0.2"/>
    <row r="57" s="240" customFormat="1" ht="12" x14ac:dyDescent="0.2"/>
    <row r="58" s="240" customFormat="1" ht="12" x14ac:dyDescent="0.2"/>
    <row r="59" s="240" customFormat="1" ht="12" x14ac:dyDescent="0.2"/>
    <row r="60" s="240" customFormat="1" ht="12" x14ac:dyDescent="0.2"/>
    <row r="61" s="240" customFormat="1" ht="12" x14ac:dyDescent="0.2"/>
    <row r="62" s="240" customFormat="1" ht="12" x14ac:dyDescent="0.2"/>
    <row r="63" s="240" customFormat="1" ht="12" x14ac:dyDescent="0.2"/>
    <row r="64" s="240" customFormat="1" ht="12" x14ac:dyDescent="0.2"/>
    <row r="65" s="240" customFormat="1" ht="12" x14ac:dyDescent="0.2"/>
    <row r="66" s="240" customFormat="1" ht="12" x14ac:dyDescent="0.2"/>
    <row r="67" s="240" customFormat="1" ht="12" x14ac:dyDescent="0.2"/>
    <row r="68" s="240" customFormat="1" ht="12" x14ac:dyDescent="0.2"/>
    <row r="69" s="240" customFormat="1" ht="12" x14ac:dyDescent="0.2"/>
    <row r="70" s="240" customFormat="1" ht="12" x14ac:dyDescent="0.2"/>
    <row r="71" s="240" customFormat="1" ht="12" x14ac:dyDescent="0.2"/>
    <row r="72" s="240" customFormat="1" ht="12" x14ac:dyDescent="0.2"/>
    <row r="73" s="240" customFormat="1" ht="12" x14ac:dyDescent="0.2"/>
    <row r="74" s="240" customFormat="1" ht="12" x14ac:dyDescent="0.2"/>
    <row r="75" s="240" customFormat="1" ht="12" x14ac:dyDescent="0.2"/>
    <row r="76" s="240" customFormat="1" ht="12" x14ac:dyDescent="0.2"/>
    <row r="77" s="240" customFormat="1" ht="12" x14ac:dyDescent="0.2"/>
    <row r="78" s="240" customFormat="1" ht="12" x14ac:dyDescent="0.2"/>
    <row r="79" s="240" customFormat="1" ht="12" x14ac:dyDescent="0.2"/>
    <row r="80" s="240" customFormat="1" ht="12" x14ac:dyDescent="0.2"/>
    <row r="81" s="240" customFormat="1" ht="12" x14ac:dyDescent="0.2"/>
    <row r="82" s="240" customFormat="1" ht="12" x14ac:dyDescent="0.2"/>
    <row r="83" s="240" customFormat="1" ht="12" x14ac:dyDescent="0.2"/>
    <row r="84" s="240" customFormat="1" ht="12" x14ac:dyDescent="0.2"/>
    <row r="85" s="240" customFormat="1" ht="12" x14ac:dyDescent="0.2"/>
    <row r="86" s="240" customFormat="1" ht="12" x14ac:dyDescent="0.2"/>
    <row r="87" s="240" customFormat="1" ht="12" x14ac:dyDescent="0.2"/>
    <row r="88" s="240" customFormat="1" ht="12" x14ac:dyDescent="0.2"/>
    <row r="89" s="240" customFormat="1" ht="12" x14ac:dyDescent="0.2"/>
    <row r="90" s="240" customFormat="1" ht="12" x14ac:dyDescent="0.2"/>
    <row r="91" s="240" customFormat="1" ht="12" x14ac:dyDescent="0.2"/>
    <row r="92" s="240" customFormat="1" ht="12" x14ac:dyDescent="0.2"/>
    <row r="93" s="240" customFormat="1" ht="12" x14ac:dyDescent="0.2"/>
    <row r="94" s="240" customFormat="1" ht="12" x14ac:dyDescent="0.2"/>
    <row r="95" s="240" customFormat="1" ht="12" x14ac:dyDescent="0.2"/>
    <row r="96" s="240" customFormat="1" ht="12" x14ac:dyDescent="0.2"/>
    <row r="97" s="240" customFormat="1" ht="12" x14ac:dyDescent="0.2"/>
    <row r="98" s="240" customFormat="1" ht="12" x14ac:dyDescent="0.2"/>
    <row r="99" s="240" customFormat="1" ht="12" x14ac:dyDescent="0.2"/>
    <row r="100" s="240" customFormat="1" ht="12" x14ac:dyDescent="0.2"/>
    <row r="101" s="240" customFormat="1" ht="12" x14ac:dyDescent="0.2"/>
    <row r="102" s="240" customFormat="1" ht="12" x14ac:dyDescent="0.2"/>
    <row r="103" s="240" customFormat="1" ht="12" x14ac:dyDescent="0.2"/>
    <row r="104" s="240" customFormat="1" ht="12" x14ac:dyDescent="0.2"/>
    <row r="105" s="240" customFormat="1" ht="12" x14ac:dyDescent="0.2"/>
    <row r="106" s="240" customFormat="1" ht="12" x14ac:dyDescent="0.2"/>
    <row r="107" s="240" customFormat="1" ht="12" x14ac:dyDescent="0.2"/>
    <row r="108" s="240" customFormat="1" ht="12" x14ac:dyDescent="0.2"/>
    <row r="109" s="240" customFormat="1" ht="12" x14ac:dyDescent="0.2"/>
    <row r="110" s="240" customFormat="1" ht="12" x14ac:dyDescent="0.2"/>
    <row r="111" s="240" customFormat="1" ht="12" x14ac:dyDescent="0.2"/>
    <row r="112" s="240" customFormat="1" ht="12" x14ac:dyDescent="0.2"/>
    <row r="113" s="240" customFormat="1" ht="12" x14ac:dyDescent="0.2"/>
    <row r="114" s="240" customFormat="1" ht="12" x14ac:dyDescent="0.2"/>
    <row r="115" s="240" customFormat="1" ht="12" x14ac:dyDescent="0.2"/>
    <row r="116" s="240" customFormat="1" ht="12" x14ac:dyDescent="0.2"/>
    <row r="117" s="240" customFormat="1" ht="12" x14ac:dyDescent="0.2"/>
    <row r="118" s="240" customFormat="1" ht="12" x14ac:dyDescent="0.2"/>
    <row r="119" s="240" customFormat="1" ht="12" x14ac:dyDescent="0.2"/>
    <row r="120" s="240" customFormat="1" ht="12" x14ac:dyDescent="0.2"/>
    <row r="121" s="240" customFormat="1" ht="12" x14ac:dyDescent="0.2"/>
    <row r="122" s="240" customFormat="1" ht="12" x14ac:dyDescent="0.2"/>
    <row r="123" s="240" customFormat="1" ht="12" x14ac:dyDescent="0.2"/>
    <row r="124" s="240" customFormat="1" ht="12" x14ac:dyDescent="0.2"/>
    <row r="125" s="240" customFormat="1" ht="12" x14ac:dyDescent="0.2"/>
  </sheetData>
  <mergeCells count="2">
    <mergeCell ref="A9:A12"/>
    <mergeCell ref="B9:B12"/>
  </mergeCells>
  <pageMargins left="0.78740157480314965" right="0.78740157480314965" top="1.1811023622047245" bottom="0.39370078740157483" header="0.31496062992125984" footer="0.31496062992125984"/>
  <pageSetup paperSize="9" scale="9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6CCCE-1C05-4891-A18C-883BBF162953}">
  <sheetPr>
    <pageSetUpPr fitToPage="1"/>
  </sheetPr>
  <dimension ref="A1:J126"/>
  <sheetViews>
    <sheetView topLeftCell="A4" workbookViewId="0">
      <selection sqref="A1:I34"/>
    </sheetView>
  </sheetViews>
  <sheetFormatPr defaultRowHeight="15" x14ac:dyDescent="0.25"/>
  <cols>
    <col min="1" max="1" width="10.140625" customWidth="1"/>
    <col min="2" max="2" width="33" customWidth="1"/>
    <col min="3" max="3" width="14.7109375" customWidth="1"/>
    <col min="4" max="5" width="15.7109375" style="315" customWidth="1"/>
    <col min="6" max="6" width="15.7109375" style="316" customWidth="1"/>
    <col min="7" max="7" width="13.140625" customWidth="1"/>
    <col min="8" max="8" width="12" customWidth="1"/>
    <col min="9" max="9" width="14.7109375" customWidth="1"/>
    <col min="250" max="250" width="7.140625" customWidth="1"/>
    <col min="251" max="251" width="33" customWidth="1"/>
    <col min="252" max="252" width="13.140625" customWidth="1"/>
    <col min="253" max="253" width="16.28515625" customWidth="1"/>
    <col min="254" max="257" width="0" hidden="1" customWidth="1"/>
    <col min="258" max="258" width="13.7109375" customWidth="1"/>
    <col min="260" max="260" width="11" customWidth="1"/>
    <col min="506" max="506" width="7.140625" customWidth="1"/>
    <col min="507" max="507" width="33" customWidth="1"/>
    <col min="508" max="508" width="13.140625" customWidth="1"/>
    <col min="509" max="509" width="16.28515625" customWidth="1"/>
    <col min="510" max="513" width="0" hidden="1" customWidth="1"/>
    <col min="514" max="514" width="13.7109375" customWidth="1"/>
    <col min="516" max="516" width="11" customWidth="1"/>
    <col min="762" max="762" width="7.140625" customWidth="1"/>
    <col min="763" max="763" width="33" customWidth="1"/>
    <col min="764" max="764" width="13.140625" customWidth="1"/>
    <col min="765" max="765" width="16.28515625" customWidth="1"/>
    <col min="766" max="769" width="0" hidden="1" customWidth="1"/>
    <col min="770" max="770" width="13.7109375" customWidth="1"/>
    <col min="772" max="772" width="11" customWidth="1"/>
    <col min="1018" max="1018" width="7.140625" customWidth="1"/>
    <col min="1019" max="1019" width="33" customWidth="1"/>
    <col min="1020" max="1020" width="13.140625" customWidth="1"/>
    <col min="1021" max="1021" width="16.28515625" customWidth="1"/>
    <col min="1022" max="1025" width="0" hidden="1" customWidth="1"/>
    <col min="1026" max="1026" width="13.7109375" customWidth="1"/>
    <col min="1028" max="1028" width="11" customWidth="1"/>
    <col min="1274" max="1274" width="7.140625" customWidth="1"/>
    <col min="1275" max="1275" width="33" customWidth="1"/>
    <col min="1276" max="1276" width="13.140625" customWidth="1"/>
    <col min="1277" max="1277" width="16.28515625" customWidth="1"/>
    <col min="1278" max="1281" width="0" hidden="1" customWidth="1"/>
    <col min="1282" max="1282" width="13.7109375" customWidth="1"/>
    <col min="1284" max="1284" width="11" customWidth="1"/>
    <col min="1530" max="1530" width="7.140625" customWidth="1"/>
    <col min="1531" max="1531" width="33" customWidth="1"/>
    <col min="1532" max="1532" width="13.140625" customWidth="1"/>
    <col min="1533" max="1533" width="16.28515625" customWidth="1"/>
    <col min="1534" max="1537" width="0" hidden="1" customWidth="1"/>
    <col min="1538" max="1538" width="13.7109375" customWidth="1"/>
    <col min="1540" max="1540" width="11" customWidth="1"/>
    <col min="1786" max="1786" width="7.140625" customWidth="1"/>
    <col min="1787" max="1787" width="33" customWidth="1"/>
    <col min="1788" max="1788" width="13.140625" customWidth="1"/>
    <col min="1789" max="1789" width="16.28515625" customWidth="1"/>
    <col min="1790" max="1793" width="0" hidden="1" customWidth="1"/>
    <col min="1794" max="1794" width="13.7109375" customWidth="1"/>
    <col min="1796" max="1796" width="11" customWidth="1"/>
    <col min="2042" max="2042" width="7.140625" customWidth="1"/>
    <col min="2043" max="2043" width="33" customWidth="1"/>
    <col min="2044" max="2044" width="13.140625" customWidth="1"/>
    <col min="2045" max="2045" width="16.28515625" customWidth="1"/>
    <col min="2046" max="2049" width="0" hidden="1" customWidth="1"/>
    <col min="2050" max="2050" width="13.7109375" customWidth="1"/>
    <col min="2052" max="2052" width="11" customWidth="1"/>
    <col min="2298" max="2298" width="7.140625" customWidth="1"/>
    <col min="2299" max="2299" width="33" customWidth="1"/>
    <col min="2300" max="2300" width="13.140625" customWidth="1"/>
    <col min="2301" max="2301" width="16.28515625" customWidth="1"/>
    <col min="2302" max="2305" width="0" hidden="1" customWidth="1"/>
    <col min="2306" max="2306" width="13.7109375" customWidth="1"/>
    <col min="2308" max="2308" width="11" customWidth="1"/>
    <col min="2554" max="2554" width="7.140625" customWidth="1"/>
    <col min="2555" max="2555" width="33" customWidth="1"/>
    <col min="2556" max="2556" width="13.140625" customWidth="1"/>
    <col min="2557" max="2557" width="16.28515625" customWidth="1"/>
    <col min="2558" max="2561" width="0" hidden="1" customWidth="1"/>
    <col min="2562" max="2562" width="13.7109375" customWidth="1"/>
    <col min="2564" max="2564" width="11" customWidth="1"/>
    <col min="2810" max="2810" width="7.140625" customWidth="1"/>
    <col min="2811" max="2811" width="33" customWidth="1"/>
    <col min="2812" max="2812" width="13.140625" customWidth="1"/>
    <col min="2813" max="2813" width="16.28515625" customWidth="1"/>
    <col min="2814" max="2817" width="0" hidden="1" customWidth="1"/>
    <col min="2818" max="2818" width="13.7109375" customWidth="1"/>
    <col min="2820" max="2820" width="11" customWidth="1"/>
    <col min="3066" max="3066" width="7.140625" customWidth="1"/>
    <col min="3067" max="3067" width="33" customWidth="1"/>
    <col min="3068" max="3068" width="13.140625" customWidth="1"/>
    <col min="3069" max="3069" width="16.28515625" customWidth="1"/>
    <col min="3070" max="3073" width="0" hidden="1" customWidth="1"/>
    <col min="3074" max="3074" width="13.7109375" customWidth="1"/>
    <col min="3076" max="3076" width="11" customWidth="1"/>
    <col min="3322" max="3322" width="7.140625" customWidth="1"/>
    <col min="3323" max="3323" width="33" customWidth="1"/>
    <col min="3324" max="3324" width="13.140625" customWidth="1"/>
    <col min="3325" max="3325" width="16.28515625" customWidth="1"/>
    <col min="3326" max="3329" width="0" hidden="1" customWidth="1"/>
    <col min="3330" max="3330" width="13.7109375" customWidth="1"/>
    <col min="3332" max="3332" width="11" customWidth="1"/>
    <col min="3578" max="3578" width="7.140625" customWidth="1"/>
    <col min="3579" max="3579" width="33" customWidth="1"/>
    <col min="3580" max="3580" width="13.140625" customWidth="1"/>
    <col min="3581" max="3581" width="16.28515625" customWidth="1"/>
    <col min="3582" max="3585" width="0" hidden="1" customWidth="1"/>
    <col min="3586" max="3586" width="13.7109375" customWidth="1"/>
    <col min="3588" max="3588" width="11" customWidth="1"/>
    <col min="3834" max="3834" width="7.140625" customWidth="1"/>
    <col min="3835" max="3835" width="33" customWidth="1"/>
    <col min="3836" max="3836" width="13.140625" customWidth="1"/>
    <col min="3837" max="3837" width="16.28515625" customWidth="1"/>
    <col min="3838" max="3841" width="0" hidden="1" customWidth="1"/>
    <col min="3842" max="3842" width="13.7109375" customWidth="1"/>
    <col min="3844" max="3844" width="11" customWidth="1"/>
    <col min="4090" max="4090" width="7.140625" customWidth="1"/>
    <col min="4091" max="4091" width="33" customWidth="1"/>
    <col min="4092" max="4092" width="13.140625" customWidth="1"/>
    <col min="4093" max="4093" width="16.28515625" customWidth="1"/>
    <col min="4094" max="4097" width="0" hidden="1" customWidth="1"/>
    <col min="4098" max="4098" width="13.7109375" customWidth="1"/>
    <col min="4100" max="4100" width="11" customWidth="1"/>
    <col min="4346" max="4346" width="7.140625" customWidth="1"/>
    <col min="4347" max="4347" width="33" customWidth="1"/>
    <col min="4348" max="4348" width="13.140625" customWidth="1"/>
    <col min="4349" max="4349" width="16.28515625" customWidth="1"/>
    <col min="4350" max="4353" width="0" hidden="1" customWidth="1"/>
    <col min="4354" max="4354" width="13.7109375" customWidth="1"/>
    <col min="4356" max="4356" width="11" customWidth="1"/>
    <col min="4602" max="4602" width="7.140625" customWidth="1"/>
    <col min="4603" max="4603" width="33" customWidth="1"/>
    <col min="4604" max="4604" width="13.140625" customWidth="1"/>
    <col min="4605" max="4605" width="16.28515625" customWidth="1"/>
    <col min="4606" max="4609" width="0" hidden="1" customWidth="1"/>
    <col min="4610" max="4610" width="13.7109375" customWidth="1"/>
    <col min="4612" max="4612" width="11" customWidth="1"/>
    <col min="4858" max="4858" width="7.140625" customWidth="1"/>
    <col min="4859" max="4859" width="33" customWidth="1"/>
    <col min="4860" max="4860" width="13.140625" customWidth="1"/>
    <col min="4861" max="4861" width="16.28515625" customWidth="1"/>
    <col min="4862" max="4865" width="0" hidden="1" customWidth="1"/>
    <col min="4866" max="4866" width="13.7109375" customWidth="1"/>
    <col min="4868" max="4868" width="11" customWidth="1"/>
    <col min="5114" max="5114" width="7.140625" customWidth="1"/>
    <col min="5115" max="5115" width="33" customWidth="1"/>
    <col min="5116" max="5116" width="13.140625" customWidth="1"/>
    <col min="5117" max="5117" width="16.28515625" customWidth="1"/>
    <col min="5118" max="5121" width="0" hidden="1" customWidth="1"/>
    <col min="5122" max="5122" width="13.7109375" customWidth="1"/>
    <col min="5124" max="5124" width="11" customWidth="1"/>
    <col min="5370" max="5370" width="7.140625" customWidth="1"/>
    <col min="5371" max="5371" width="33" customWidth="1"/>
    <col min="5372" max="5372" width="13.140625" customWidth="1"/>
    <col min="5373" max="5373" width="16.28515625" customWidth="1"/>
    <col min="5374" max="5377" width="0" hidden="1" customWidth="1"/>
    <col min="5378" max="5378" width="13.7109375" customWidth="1"/>
    <col min="5380" max="5380" width="11" customWidth="1"/>
    <col min="5626" max="5626" width="7.140625" customWidth="1"/>
    <col min="5627" max="5627" width="33" customWidth="1"/>
    <col min="5628" max="5628" width="13.140625" customWidth="1"/>
    <col min="5629" max="5629" width="16.28515625" customWidth="1"/>
    <col min="5630" max="5633" width="0" hidden="1" customWidth="1"/>
    <col min="5634" max="5634" width="13.7109375" customWidth="1"/>
    <col min="5636" max="5636" width="11" customWidth="1"/>
    <col min="5882" max="5882" width="7.140625" customWidth="1"/>
    <col min="5883" max="5883" width="33" customWidth="1"/>
    <col min="5884" max="5884" width="13.140625" customWidth="1"/>
    <col min="5885" max="5885" width="16.28515625" customWidth="1"/>
    <col min="5886" max="5889" width="0" hidden="1" customWidth="1"/>
    <col min="5890" max="5890" width="13.7109375" customWidth="1"/>
    <col min="5892" max="5892" width="11" customWidth="1"/>
    <col min="6138" max="6138" width="7.140625" customWidth="1"/>
    <col min="6139" max="6139" width="33" customWidth="1"/>
    <col min="6140" max="6140" width="13.140625" customWidth="1"/>
    <col min="6141" max="6141" width="16.28515625" customWidth="1"/>
    <col min="6142" max="6145" width="0" hidden="1" customWidth="1"/>
    <col min="6146" max="6146" width="13.7109375" customWidth="1"/>
    <col min="6148" max="6148" width="11" customWidth="1"/>
    <col min="6394" max="6394" width="7.140625" customWidth="1"/>
    <col min="6395" max="6395" width="33" customWidth="1"/>
    <col min="6396" max="6396" width="13.140625" customWidth="1"/>
    <col min="6397" max="6397" width="16.28515625" customWidth="1"/>
    <col min="6398" max="6401" width="0" hidden="1" customWidth="1"/>
    <col min="6402" max="6402" width="13.7109375" customWidth="1"/>
    <col min="6404" max="6404" width="11" customWidth="1"/>
    <col min="6650" max="6650" width="7.140625" customWidth="1"/>
    <col min="6651" max="6651" width="33" customWidth="1"/>
    <col min="6652" max="6652" width="13.140625" customWidth="1"/>
    <col min="6653" max="6653" width="16.28515625" customWidth="1"/>
    <col min="6654" max="6657" width="0" hidden="1" customWidth="1"/>
    <col min="6658" max="6658" width="13.7109375" customWidth="1"/>
    <col min="6660" max="6660" width="11" customWidth="1"/>
    <col min="6906" max="6906" width="7.140625" customWidth="1"/>
    <col min="6907" max="6907" width="33" customWidth="1"/>
    <col min="6908" max="6908" width="13.140625" customWidth="1"/>
    <col min="6909" max="6909" width="16.28515625" customWidth="1"/>
    <col min="6910" max="6913" width="0" hidden="1" customWidth="1"/>
    <col min="6914" max="6914" width="13.7109375" customWidth="1"/>
    <col min="6916" max="6916" width="11" customWidth="1"/>
    <col min="7162" max="7162" width="7.140625" customWidth="1"/>
    <col min="7163" max="7163" width="33" customWidth="1"/>
    <col min="7164" max="7164" width="13.140625" customWidth="1"/>
    <col min="7165" max="7165" width="16.28515625" customWidth="1"/>
    <col min="7166" max="7169" width="0" hidden="1" customWidth="1"/>
    <col min="7170" max="7170" width="13.7109375" customWidth="1"/>
    <col min="7172" max="7172" width="11" customWidth="1"/>
    <col min="7418" max="7418" width="7.140625" customWidth="1"/>
    <col min="7419" max="7419" width="33" customWidth="1"/>
    <col min="7420" max="7420" width="13.140625" customWidth="1"/>
    <col min="7421" max="7421" width="16.28515625" customWidth="1"/>
    <col min="7422" max="7425" width="0" hidden="1" customWidth="1"/>
    <col min="7426" max="7426" width="13.7109375" customWidth="1"/>
    <col min="7428" max="7428" width="11" customWidth="1"/>
    <col min="7674" max="7674" width="7.140625" customWidth="1"/>
    <col min="7675" max="7675" width="33" customWidth="1"/>
    <col min="7676" max="7676" width="13.140625" customWidth="1"/>
    <col min="7677" max="7677" width="16.28515625" customWidth="1"/>
    <col min="7678" max="7681" width="0" hidden="1" customWidth="1"/>
    <col min="7682" max="7682" width="13.7109375" customWidth="1"/>
    <col min="7684" max="7684" width="11" customWidth="1"/>
    <col min="7930" max="7930" width="7.140625" customWidth="1"/>
    <col min="7931" max="7931" width="33" customWidth="1"/>
    <col min="7932" max="7932" width="13.140625" customWidth="1"/>
    <col min="7933" max="7933" width="16.28515625" customWidth="1"/>
    <col min="7934" max="7937" width="0" hidden="1" customWidth="1"/>
    <col min="7938" max="7938" width="13.7109375" customWidth="1"/>
    <col min="7940" max="7940" width="11" customWidth="1"/>
    <col min="8186" max="8186" width="7.140625" customWidth="1"/>
    <col min="8187" max="8187" width="33" customWidth="1"/>
    <col min="8188" max="8188" width="13.140625" customWidth="1"/>
    <col min="8189" max="8189" width="16.28515625" customWidth="1"/>
    <col min="8190" max="8193" width="0" hidden="1" customWidth="1"/>
    <col min="8194" max="8194" width="13.7109375" customWidth="1"/>
    <col min="8196" max="8196" width="11" customWidth="1"/>
    <col min="8442" max="8442" width="7.140625" customWidth="1"/>
    <col min="8443" max="8443" width="33" customWidth="1"/>
    <col min="8444" max="8444" width="13.140625" customWidth="1"/>
    <col min="8445" max="8445" width="16.28515625" customWidth="1"/>
    <col min="8446" max="8449" width="0" hidden="1" customWidth="1"/>
    <col min="8450" max="8450" width="13.7109375" customWidth="1"/>
    <col min="8452" max="8452" width="11" customWidth="1"/>
    <col min="8698" max="8698" width="7.140625" customWidth="1"/>
    <col min="8699" max="8699" width="33" customWidth="1"/>
    <col min="8700" max="8700" width="13.140625" customWidth="1"/>
    <col min="8701" max="8701" width="16.28515625" customWidth="1"/>
    <col min="8702" max="8705" width="0" hidden="1" customWidth="1"/>
    <col min="8706" max="8706" width="13.7109375" customWidth="1"/>
    <col min="8708" max="8708" width="11" customWidth="1"/>
    <col min="8954" max="8954" width="7.140625" customWidth="1"/>
    <col min="8955" max="8955" width="33" customWidth="1"/>
    <col min="8956" max="8956" width="13.140625" customWidth="1"/>
    <col min="8957" max="8957" width="16.28515625" customWidth="1"/>
    <col min="8958" max="8961" width="0" hidden="1" customWidth="1"/>
    <col min="8962" max="8962" width="13.7109375" customWidth="1"/>
    <col min="8964" max="8964" width="11" customWidth="1"/>
    <col min="9210" max="9210" width="7.140625" customWidth="1"/>
    <col min="9211" max="9211" width="33" customWidth="1"/>
    <col min="9212" max="9212" width="13.140625" customWidth="1"/>
    <col min="9213" max="9213" width="16.28515625" customWidth="1"/>
    <col min="9214" max="9217" width="0" hidden="1" customWidth="1"/>
    <col min="9218" max="9218" width="13.7109375" customWidth="1"/>
    <col min="9220" max="9220" width="11" customWidth="1"/>
    <col min="9466" max="9466" width="7.140625" customWidth="1"/>
    <col min="9467" max="9467" width="33" customWidth="1"/>
    <col min="9468" max="9468" width="13.140625" customWidth="1"/>
    <col min="9469" max="9469" width="16.28515625" customWidth="1"/>
    <col min="9470" max="9473" width="0" hidden="1" customWidth="1"/>
    <col min="9474" max="9474" width="13.7109375" customWidth="1"/>
    <col min="9476" max="9476" width="11" customWidth="1"/>
    <col min="9722" max="9722" width="7.140625" customWidth="1"/>
    <col min="9723" max="9723" width="33" customWidth="1"/>
    <col min="9724" max="9724" width="13.140625" customWidth="1"/>
    <col min="9725" max="9725" width="16.28515625" customWidth="1"/>
    <col min="9726" max="9729" width="0" hidden="1" customWidth="1"/>
    <col min="9730" max="9730" width="13.7109375" customWidth="1"/>
    <col min="9732" max="9732" width="11" customWidth="1"/>
    <col min="9978" max="9978" width="7.140625" customWidth="1"/>
    <col min="9979" max="9979" width="33" customWidth="1"/>
    <col min="9980" max="9980" width="13.140625" customWidth="1"/>
    <col min="9981" max="9981" width="16.28515625" customWidth="1"/>
    <col min="9982" max="9985" width="0" hidden="1" customWidth="1"/>
    <col min="9986" max="9986" width="13.7109375" customWidth="1"/>
    <col min="9988" max="9988" width="11" customWidth="1"/>
    <col min="10234" max="10234" width="7.140625" customWidth="1"/>
    <col min="10235" max="10235" width="33" customWidth="1"/>
    <col min="10236" max="10236" width="13.140625" customWidth="1"/>
    <col min="10237" max="10237" width="16.28515625" customWidth="1"/>
    <col min="10238" max="10241" width="0" hidden="1" customWidth="1"/>
    <col min="10242" max="10242" width="13.7109375" customWidth="1"/>
    <col min="10244" max="10244" width="11" customWidth="1"/>
    <col min="10490" max="10490" width="7.140625" customWidth="1"/>
    <col min="10491" max="10491" width="33" customWidth="1"/>
    <col min="10492" max="10492" width="13.140625" customWidth="1"/>
    <col min="10493" max="10493" width="16.28515625" customWidth="1"/>
    <col min="10494" max="10497" width="0" hidden="1" customWidth="1"/>
    <col min="10498" max="10498" width="13.7109375" customWidth="1"/>
    <col min="10500" max="10500" width="11" customWidth="1"/>
    <col min="10746" max="10746" width="7.140625" customWidth="1"/>
    <col min="10747" max="10747" width="33" customWidth="1"/>
    <col min="10748" max="10748" width="13.140625" customWidth="1"/>
    <col min="10749" max="10749" width="16.28515625" customWidth="1"/>
    <col min="10750" max="10753" width="0" hidden="1" customWidth="1"/>
    <col min="10754" max="10754" width="13.7109375" customWidth="1"/>
    <col min="10756" max="10756" width="11" customWidth="1"/>
    <col min="11002" max="11002" width="7.140625" customWidth="1"/>
    <col min="11003" max="11003" width="33" customWidth="1"/>
    <col min="11004" max="11004" width="13.140625" customWidth="1"/>
    <col min="11005" max="11005" width="16.28515625" customWidth="1"/>
    <col min="11006" max="11009" width="0" hidden="1" customWidth="1"/>
    <col min="11010" max="11010" width="13.7109375" customWidth="1"/>
    <col min="11012" max="11012" width="11" customWidth="1"/>
    <col min="11258" max="11258" width="7.140625" customWidth="1"/>
    <col min="11259" max="11259" width="33" customWidth="1"/>
    <col min="11260" max="11260" width="13.140625" customWidth="1"/>
    <col min="11261" max="11261" width="16.28515625" customWidth="1"/>
    <col min="11262" max="11265" width="0" hidden="1" customWidth="1"/>
    <col min="11266" max="11266" width="13.7109375" customWidth="1"/>
    <col min="11268" max="11268" width="11" customWidth="1"/>
    <col min="11514" max="11514" width="7.140625" customWidth="1"/>
    <col min="11515" max="11515" width="33" customWidth="1"/>
    <col min="11516" max="11516" width="13.140625" customWidth="1"/>
    <col min="11517" max="11517" width="16.28515625" customWidth="1"/>
    <col min="11518" max="11521" width="0" hidden="1" customWidth="1"/>
    <col min="11522" max="11522" width="13.7109375" customWidth="1"/>
    <col min="11524" max="11524" width="11" customWidth="1"/>
    <col min="11770" max="11770" width="7.140625" customWidth="1"/>
    <col min="11771" max="11771" width="33" customWidth="1"/>
    <col min="11772" max="11772" width="13.140625" customWidth="1"/>
    <col min="11773" max="11773" width="16.28515625" customWidth="1"/>
    <col min="11774" max="11777" width="0" hidden="1" customWidth="1"/>
    <col min="11778" max="11778" width="13.7109375" customWidth="1"/>
    <col min="11780" max="11780" width="11" customWidth="1"/>
    <col min="12026" max="12026" width="7.140625" customWidth="1"/>
    <col min="12027" max="12027" width="33" customWidth="1"/>
    <col min="12028" max="12028" width="13.140625" customWidth="1"/>
    <col min="12029" max="12029" width="16.28515625" customWidth="1"/>
    <col min="12030" max="12033" width="0" hidden="1" customWidth="1"/>
    <col min="12034" max="12034" width="13.7109375" customWidth="1"/>
    <col min="12036" max="12036" width="11" customWidth="1"/>
    <col min="12282" max="12282" width="7.140625" customWidth="1"/>
    <col min="12283" max="12283" width="33" customWidth="1"/>
    <col min="12284" max="12284" width="13.140625" customWidth="1"/>
    <col min="12285" max="12285" width="16.28515625" customWidth="1"/>
    <col min="12286" max="12289" width="0" hidden="1" customWidth="1"/>
    <col min="12290" max="12290" width="13.7109375" customWidth="1"/>
    <col min="12292" max="12292" width="11" customWidth="1"/>
    <col min="12538" max="12538" width="7.140625" customWidth="1"/>
    <col min="12539" max="12539" width="33" customWidth="1"/>
    <col min="12540" max="12540" width="13.140625" customWidth="1"/>
    <col min="12541" max="12541" width="16.28515625" customWidth="1"/>
    <col min="12542" max="12545" width="0" hidden="1" customWidth="1"/>
    <col min="12546" max="12546" width="13.7109375" customWidth="1"/>
    <col min="12548" max="12548" width="11" customWidth="1"/>
    <col min="12794" max="12794" width="7.140625" customWidth="1"/>
    <col min="12795" max="12795" width="33" customWidth="1"/>
    <col min="12796" max="12796" width="13.140625" customWidth="1"/>
    <col min="12797" max="12797" width="16.28515625" customWidth="1"/>
    <col min="12798" max="12801" width="0" hidden="1" customWidth="1"/>
    <col min="12802" max="12802" width="13.7109375" customWidth="1"/>
    <col min="12804" max="12804" width="11" customWidth="1"/>
    <col min="13050" max="13050" width="7.140625" customWidth="1"/>
    <col min="13051" max="13051" width="33" customWidth="1"/>
    <col min="13052" max="13052" width="13.140625" customWidth="1"/>
    <col min="13053" max="13053" width="16.28515625" customWidth="1"/>
    <col min="13054" max="13057" width="0" hidden="1" customWidth="1"/>
    <col min="13058" max="13058" width="13.7109375" customWidth="1"/>
    <col min="13060" max="13060" width="11" customWidth="1"/>
    <col min="13306" max="13306" width="7.140625" customWidth="1"/>
    <col min="13307" max="13307" width="33" customWidth="1"/>
    <col min="13308" max="13308" width="13.140625" customWidth="1"/>
    <col min="13309" max="13309" width="16.28515625" customWidth="1"/>
    <col min="13310" max="13313" width="0" hidden="1" customWidth="1"/>
    <col min="13314" max="13314" width="13.7109375" customWidth="1"/>
    <col min="13316" max="13316" width="11" customWidth="1"/>
    <col min="13562" max="13562" width="7.140625" customWidth="1"/>
    <col min="13563" max="13563" width="33" customWidth="1"/>
    <col min="13564" max="13564" width="13.140625" customWidth="1"/>
    <col min="13565" max="13565" width="16.28515625" customWidth="1"/>
    <col min="13566" max="13569" width="0" hidden="1" customWidth="1"/>
    <col min="13570" max="13570" width="13.7109375" customWidth="1"/>
    <col min="13572" max="13572" width="11" customWidth="1"/>
    <col min="13818" max="13818" width="7.140625" customWidth="1"/>
    <col min="13819" max="13819" width="33" customWidth="1"/>
    <col min="13820" max="13820" width="13.140625" customWidth="1"/>
    <col min="13821" max="13821" width="16.28515625" customWidth="1"/>
    <col min="13822" max="13825" width="0" hidden="1" customWidth="1"/>
    <col min="13826" max="13826" width="13.7109375" customWidth="1"/>
    <col min="13828" max="13828" width="11" customWidth="1"/>
    <col min="14074" max="14074" width="7.140625" customWidth="1"/>
    <col min="14075" max="14075" width="33" customWidth="1"/>
    <col min="14076" max="14076" width="13.140625" customWidth="1"/>
    <col min="14077" max="14077" width="16.28515625" customWidth="1"/>
    <col min="14078" max="14081" width="0" hidden="1" customWidth="1"/>
    <col min="14082" max="14082" width="13.7109375" customWidth="1"/>
    <col min="14084" max="14084" width="11" customWidth="1"/>
    <col min="14330" max="14330" width="7.140625" customWidth="1"/>
    <col min="14331" max="14331" width="33" customWidth="1"/>
    <col min="14332" max="14332" width="13.140625" customWidth="1"/>
    <col min="14333" max="14333" width="16.28515625" customWidth="1"/>
    <col min="14334" max="14337" width="0" hidden="1" customWidth="1"/>
    <col min="14338" max="14338" width="13.7109375" customWidth="1"/>
    <col min="14340" max="14340" width="11" customWidth="1"/>
    <col min="14586" max="14586" width="7.140625" customWidth="1"/>
    <col min="14587" max="14587" width="33" customWidth="1"/>
    <col min="14588" max="14588" width="13.140625" customWidth="1"/>
    <col min="14589" max="14589" width="16.28515625" customWidth="1"/>
    <col min="14590" max="14593" width="0" hidden="1" customWidth="1"/>
    <col min="14594" max="14594" width="13.7109375" customWidth="1"/>
    <col min="14596" max="14596" width="11" customWidth="1"/>
    <col min="14842" max="14842" width="7.140625" customWidth="1"/>
    <col min="14843" max="14843" width="33" customWidth="1"/>
    <col min="14844" max="14844" width="13.140625" customWidth="1"/>
    <col min="14845" max="14845" width="16.28515625" customWidth="1"/>
    <col min="14846" max="14849" width="0" hidden="1" customWidth="1"/>
    <col min="14850" max="14850" width="13.7109375" customWidth="1"/>
    <col min="14852" max="14852" width="11" customWidth="1"/>
    <col min="15098" max="15098" width="7.140625" customWidth="1"/>
    <col min="15099" max="15099" width="33" customWidth="1"/>
    <col min="15100" max="15100" width="13.140625" customWidth="1"/>
    <col min="15101" max="15101" width="16.28515625" customWidth="1"/>
    <col min="15102" max="15105" width="0" hidden="1" customWidth="1"/>
    <col min="15106" max="15106" width="13.7109375" customWidth="1"/>
    <col min="15108" max="15108" width="11" customWidth="1"/>
    <col min="15354" max="15354" width="7.140625" customWidth="1"/>
    <col min="15355" max="15355" width="33" customWidth="1"/>
    <col min="15356" max="15356" width="13.140625" customWidth="1"/>
    <col min="15357" max="15357" width="16.28515625" customWidth="1"/>
    <col min="15358" max="15361" width="0" hidden="1" customWidth="1"/>
    <col min="15362" max="15362" width="13.7109375" customWidth="1"/>
    <col min="15364" max="15364" width="11" customWidth="1"/>
    <col min="15610" max="15610" width="7.140625" customWidth="1"/>
    <col min="15611" max="15611" width="33" customWidth="1"/>
    <col min="15612" max="15612" width="13.140625" customWidth="1"/>
    <col min="15613" max="15613" width="16.28515625" customWidth="1"/>
    <col min="15614" max="15617" width="0" hidden="1" customWidth="1"/>
    <col min="15618" max="15618" width="13.7109375" customWidth="1"/>
    <col min="15620" max="15620" width="11" customWidth="1"/>
    <col min="15866" max="15866" width="7.140625" customWidth="1"/>
    <col min="15867" max="15867" width="33" customWidth="1"/>
    <col min="15868" max="15868" width="13.140625" customWidth="1"/>
    <col min="15869" max="15869" width="16.28515625" customWidth="1"/>
    <col min="15870" max="15873" width="0" hidden="1" customWidth="1"/>
    <col min="15874" max="15874" width="13.7109375" customWidth="1"/>
    <col min="15876" max="15876" width="11" customWidth="1"/>
    <col min="16122" max="16122" width="7.140625" customWidth="1"/>
    <col min="16123" max="16123" width="33" customWidth="1"/>
    <col min="16124" max="16124" width="13.140625" customWidth="1"/>
    <col min="16125" max="16125" width="16.28515625" customWidth="1"/>
    <col min="16126" max="16129" width="0" hidden="1" customWidth="1"/>
    <col min="16130" max="16130" width="13.7109375" customWidth="1"/>
    <col min="16132" max="16132" width="11" customWidth="1"/>
  </cols>
  <sheetData>
    <row r="1" spans="1:10" x14ac:dyDescent="0.25">
      <c r="C1" s="146"/>
      <c r="D1" s="146"/>
      <c r="E1" s="146"/>
      <c r="F1" s="239"/>
      <c r="I1" s="1" t="s">
        <v>1090</v>
      </c>
    </row>
    <row r="2" spans="1:10" x14ac:dyDescent="0.25">
      <c r="C2" s="146"/>
      <c r="D2" s="146"/>
      <c r="E2" s="146"/>
      <c r="F2" s="239"/>
      <c r="I2" s="1" t="s">
        <v>1176</v>
      </c>
    </row>
    <row r="3" spans="1:10" x14ac:dyDescent="0.25">
      <c r="C3" s="146"/>
      <c r="D3" s="146"/>
      <c r="E3" s="146"/>
      <c r="F3" s="239"/>
      <c r="I3" s="239" t="s">
        <v>395</v>
      </c>
    </row>
    <row r="4" spans="1:10" x14ac:dyDescent="0.25">
      <c r="I4" s="1" t="s">
        <v>279</v>
      </c>
    </row>
    <row r="5" spans="1:10" s="240" customFormat="1" x14ac:dyDescent="0.25">
      <c r="A5" s="241"/>
      <c r="B5" s="586" t="s">
        <v>1091</v>
      </c>
      <c r="C5" s="586"/>
      <c r="D5" s="586"/>
      <c r="E5" s="586"/>
      <c r="F5" s="586"/>
      <c r="G5" s="586"/>
      <c r="H5" s="586"/>
    </row>
    <row r="6" spans="1:10" s="240" customFormat="1" x14ac:dyDescent="0.25">
      <c r="A6" s="286"/>
      <c r="B6" s="586" t="s">
        <v>1092</v>
      </c>
      <c r="C6" s="586"/>
      <c r="D6" s="586"/>
      <c r="E6" s="586"/>
      <c r="F6" s="586"/>
      <c r="G6" s="586"/>
      <c r="H6" s="586"/>
    </row>
    <row r="7" spans="1:10" s="240" customFormat="1" x14ac:dyDescent="0.25">
      <c r="A7" s="241"/>
      <c r="B7" s="586" t="s">
        <v>1093</v>
      </c>
      <c r="C7" s="586"/>
      <c r="D7" s="586"/>
      <c r="E7" s="586"/>
      <c r="F7" s="586"/>
      <c r="G7" s="586"/>
      <c r="H7" s="586"/>
    </row>
    <row r="8" spans="1:10" s="287" customFormat="1" ht="12" x14ac:dyDescent="0.2"/>
    <row r="9" spans="1:10" s="291" customFormat="1" ht="12" customHeight="1" x14ac:dyDescent="0.2">
      <c r="A9" s="587" t="s">
        <v>1050</v>
      </c>
      <c r="B9" s="590" t="s">
        <v>1051</v>
      </c>
      <c r="C9" s="288"/>
      <c r="D9" s="289" t="s">
        <v>1052</v>
      </c>
      <c r="E9" s="289"/>
      <c r="F9" s="289" t="s">
        <v>1052</v>
      </c>
      <c r="G9" s="288"/>
      <c r="H9" s="290" t="s">
        <v>1052</v>
      </c>
      <c r="I9" s="244" t="s">
        <v>1052</v>
      </c>
    </row>
    <row r="10" spans="1:10" s="291" customFormat="1" ht="12.75" x14ac:dyDescent="0.2">
      <c r="A10" s="588"/>
      <c r="B10" s="591"/>
      <c r="C10" s="292" t="s">
        <v>1053</v>
      </c>
      <c r="D10" s="248" t="s">
        <v>1056</v>
      </c>
      <c r="E10" s="248" t="s">
        <v>1055</v>
      </c>
      <c r="F10" s="248" t="s">
        <v>1056</v>
      </c>
      <c r="G10" s="292" t="s">
        <v>1053</v>
      </c>
      <c r="H10" s="293" t="s">
        <v>1056</v>
      </c>
      <c r="I10" s="247" t="s">
        <v>1056</v>
      </c>
    </row>
    <row r="11" spans="1:10" s="291" customFormat="1" ht="12.75" x14ac:dyDescent="0.2">
      <c r="A11" s="588"/>
      <c r="B11" s="591"/>
      <c r="C11" s="292" t="s">
        <v>1057</v>
      </c>
      <c r="D11" s="248" t="s">
        <v>1058</v>
      </c>
      <c r="E11" s="248" t="s">
        <v>1059</v>
      </c>
      <c r="F11" s="248" t="s">
        <v>1058</v>
      </c>
      <c r="G11" s="292" t="s">
        <v>1057</v>
      </c>
      <c r="H11" s="293" t="s">
        <v>1094</v>
      </c>
      <c r="I11" s="247" t="s">
        <v>1061</v>
      </c>
    </row>
    <row r="12" spans="1:10" s="291" customFormat="1" ht="12.75" x14ac:dyDescent="0.2">
      <c r="A12" s="589"/>
      <c r="B12" s="592"/>
      <c r="C12" s="294" t="s">
        <v>1062</v>
      </c>
      <c r="D12" s="295" t="s">
        <v>1063</v>
      </c>
      <c r="E12" s="295"/>
      <c r="F12" s="295" t="s">
        <v>1063</v>
      </c>
      <c r="G12" s="294" t="s">
        <v>1064</v>
      </c>
      <c r="H12" s="296" t="s">
        <v>1063</v>
      </c>
      <c r="I12" s="252" t="s">
        <v>1063</v>
      </c>
    </row>
    <row r="13" spans="1:10" s="291" customFormat="1" ht="12.75" x14ac:dyDescent="0.2">
      <c r="A13" s="297">
        <v>1</v>
      </c>
      <c r="B13" s="297">
        <v>2</v>
      </c>
      <c r="C13" s="209">
        <v>3</v>
      </c>
      <c r="D13" s="297">
        <v>4</v>
      </c>
      <c r="E13" s="297">
        <v>5</v>
      </c>
      <c r="F13" s="297">
        <v>6</v>
      </c>
      <c r="G13" s="209">
        <v>7</v>
      </c>
      <c r="H13" s="297">
        <v>8</v>
      </c>
      <c r="I13" s="209" t="s">
        <v>1065</v>
      </c>
    </row>
    <row r="14" spans="1:10" s="287" customFormat="1" ht="12.75" x14ac:dyDescent="0.2">
      <c r="A14" s="182" t="s">
        <v>1017</v>
      </c>
      <c r="B14" s="298"/>
      <c r="C14" s="299">
        <f>SUM(C15:C34)</f>
        <v>6100</v>
      </c>
      <c r="D14" s="299">
        <f>SUM(D15:D34)</f>
        <v>7972120</v>
      </c>
      <c r="E14" s="299"/>
      <c r="F14" s="299">
        <f>SUM(F15:F34)</f>
        <v>7972120</v>
      </c>
      <c r="G14" s="299">
        <f>SUM(G15:G34)</f>
        <v>6209</v>
      </c>
      <c r="H14" s="299">
        <f>SUM(H15:H34)</f>
        <v>4165938</v>
      </c>
      <c r="I14" s="299">
        <f>SUM(I15:I34)</f>
        <v>12138058</v>
      </c>
      <c r="J14" s="291"/>
    </row>
    <row r="15" spans="1:10" s="287" customFormat="1" ht="15" customHeight="1" x14ac:dyDescent="0.2">
      <c r="A15" s="256">
        <v>2</v>
      </c>
      <c r="B15" s="300" t="s">
        <v>1067</v>
      </c>
      <c r="C15" s="301">
        <v>124</v>
      </c>
      <c r="D15" s="302">
        <v>179548</v>
      </c>
      <c r="E15" s="302">
        <v>-1</v>
      </c>
      <c r="F15" s="302">
        <v>179547</v>
      </c>
      <c r="G15" s="301">
        <v>126</v>
      </c>
      <c r="H15" s="302">
        <v>100188</v>
      </c>
      <c r="I15" s="302">
        <f>F15+H15</f>
        <v>279735</v>
      </c>
      <c r="J15" s="291"/>
    </row>
    <row r="16" spans="1:10" s="287" customFormat="1" ht="15" customHeight="1" x14ac:dyDescent="0.2">
      <c r="A16" s="256">
        <v>3</v>
      </c>
      <c r="B16" s="300" t="s">
        <v>1068</v>
      </c>
      <c r="C16" s="303">
        <v>92</v>
      </c>
      <c r="D16" s="302">
        <v>127369</v>
      </c>
      <c r="E16" s="302">
        <v>5156</v>
      </c>
      <c r="F16" s="302">
        <v>132525</v>
      </c>
      <c r="G16" s="303">
        <v>110</v>
      </c>
      <c r="H16" s="302">
        <v>96037</v>
      </c>
      <c r="I16" s="302">
        <f t="shared" ref="I16:I34" si="0">F16+H16</f>
        <v>228562</v>
      </c>
      <c r="J16" s="291"/>
    </row>
    <row r="17" spans="1:10" s="287" customFormat="1" ht="15" customHeight="1" x14ac:dyDescent="0.2">
      <c r="A17" s="256">
        <v>4</v>
      </c>
      <c r="B17" s="300" t="s">
        <v>1069</v>
      </c>
      <c r="C17" s="303">
        <v>102</v>
      </c>
      <c r="D17" s="302">
        <v>161804</v>
      </c>
      <c r="E17" s="302">
        <v>2040</v>
      </c>
      <c r="F17" s="302">
        <v>163844</v>
      </c>
      <c r="G17" s="303">
        <v>100</v>
      </c>
      <c r="H17" s="302">
        <v>92404</v>
      </c>
      <c r="I17" s="302">
        <f t="shared" si="0"/>
        <v>256248</v>
      </c>
      <c r="J17" s="291"/>
    </row>
    <row r="18" spans="1:10" s="287" customFormat="1" ht="15" customHeight="1" x14ac:dyDescent="0.2">
      <c r="A18" s="256">
        <v>5</v>
      </c>
      <c r="B18" s="300" t="s">
        <v>1070</v>
      </c>
      <c r="C18" s="304">
        <v>84</v>
      </c>
      <c r="D18" s="302">
        <v>122413</v>
      </c>
      <c r="E18" s="302">
        <v>10204</v>
      </c>
      <c r="F18" s="302">
        <v>132617</v>
      </c>
      <c r="G18" s="304">
        <v>90</v>
      </c>
      <c r="H18" s="302">
        <v>83596</v>
      </c>
      <c r="I18" s="302">
        <f t="shared" si="0"/>
        <v>216213</v>
      </c>
      <c r="J18" s="291"/>
    </row>
    <row r="19" spans="1:10" s="287" customFormat="1" ht="15" customHeight="1" x14ac:dyDescent="0.2">
      <c r="A19" s="256">
        <v>1</v>
      </c>
      <c r="B19" s="305" t="s">
        <v>1066</v>
      </c>
      <c r="C19" s="301">
        <v>14</v>
      </c>
      <c r="D19" s="306">
        <v>31283</v>
      </c>
      <c r="E19" s="306">
        <v>2766</v>
      </c>
      <c r="F19" s="306">
        <v>34049</v>
      </c>
      <c r="G19" s="301"/>
      <c r="H19" s="306">
        <v>758</v>
      </c>
      <c r="I19" s="302">
        <f t="shared" si="0"/>
        <v>34807</v>
      </c>
      <c r="J19" s="291"/>
    </row>
    <row r="20" spans="1:10" s="287" customFormat="1" ht="15" customHeight="1" x14ac:dyDescent="0.2">
      <c r="A20" s="256">
        <v>6</v>
      </c>
      <c r="B20" s="300" t="s">
        <v>1071</v>
      </c>
      <c r="C20" s="304">
        <v>72</v>
      </c>
      <c r="D20" s="302">
        <v>123032</v>
      </c>
      <c r="E20" s="302">
        <v>8340</v>
      </c>
      <c r="F20" s="302">
        <v>131372</v>
      </c>
      <c r="G20" s="304">
        <v>70</v>
      </c>
      <c r="H20" s="302">
        <v>63649</v>
      </c>
      <c r="I20" s="302">
        <f t="shared" si="0"/>
        <v>195021</v>
      </c>
      <c r="J20" s="291"/>
    </row>
    <row r="21" spans="1:10" s="287" customFormat="1" ht="15" customHeight="1" x14ac:dyDescent="0.2">
      <c r="A21" s="256">
        <v>9</v>
      </c>
      <c r="B21" s="300" t="s">
        <v>1074</v>
      </c>
      <c r="C21" s="303">
        <v>91</v>
      </c>
      <c r="D21" s="302">
        <v>120245</v>
      </c>
      <c r="E21" s="302">
        <v>2377</v>
      </c>
      <c r="F21" s="302">
        <v>122622</v>
      </c>
      <c r="G21" s="303">
        <v>93</v>
      </c>
      <c r="H21" s="302">
        <v>79929</v>
      </c>
      <c r="I21" s="302">
        <f t="shared" si="0"/>
        <v>202551</v>
      </c>
      <c r="J21" s="291"/>
    </row>
    <row r="22" spans="1:10" s="287" customFormat="1" ht="15" customHeight="1" x14ac:dyDescent="0.2">
      <c r="A22" s="256">
        <v>7</v>
      </c>
      <c r="B22" s="300" t="s">
        <v>1072</v>
      </c>
      <c r="C22" s="303">
        <v>308</v>
      </c>
      <c r="D22" s="302">
        <v>386082</v>
      </c>
      <c r="E22" s="302">
        <v>-1056</v>
      </c>
      <c r="F22" s="302">
        <v>385026</v>
      </c>
      <c r="G22" s="303">
        <v>310</v>
      </c>
      <c r="H22" s="302">
        <v>190586</v>
      </c>
      <c r="I22" s="302">
        <f t="shared" si="0"/>
        <v>575612</v>
      </c>
      <c r="J22" s="291"/>
    </row>
    <row r="23" spans="1:10" s="287" customFormat="1" ht="15" customHeight="1" x14ac:dyDescent="0.2">
      <c r="A23" s="256">
        <v>8</v>
      </c>
      <c r="B23" s="300" t="s">
        <v>1073</v>
      </c>
      <c r="C23" s="303">
        <v>99</v>
      </c>
      <c r="D23" s="302">
        <v>144819</v>
      </c>
      <c r="E23" s="302">
        <v>1873</v>
      </c>
      <c r="F23" s="302">
        <v>146692</v>
      </c>
      <c r="G23" s="303">
        <v>103</v>
      </c>
      <c r="H23" s="302">
        <v>77190</v>
      </c>
      <c r="I23" s="302">
        <f t="shared" si="0"/>
        <v>223882</v>
      </c>
      <c r="J23" s="291"/>
    </row>
    <row r="24" spans="1:10" s="287" customFormat="1" ht="15" customHeight="1" x14ac:dyDescent="0.2">
      <c r="A24" s="256">
        <v>10</v>
      </c>
      <c r="B24" s="300" t="s">
        <v>1076</v>
      </c>
      <c r="C24" s="303">
        <v>243</v>
      </c>
      <c r="D24" s="302">
        <v>331237</v>
      </c>
      <c r="E24" s="302">
        <v>1911</v>
      </c>
      <c r="F24" s="302">
        <v>333148</v>
      </c>
      <c r="G24" s="303">
        <v>245</v>
      </c>
      <c r="H24" s="302">
        <v>155682</v>
      </c>
      <c r="I24" s="302">
        <f t="shared" si="0"/>
        <v>488830</v>
      </c>
      <c r="J24" s="291"/>
    </row>
    <row r="25" spans="1:10" s="287" customFormat="1" ht="15" customHeight="1" x14ac:dyDescent="0.2">
      <c r="A25" s="256">
        <v>11</v>
      </c>
      <c r="B25" s="300" t="s">
        <v>1077</v>
      </c>
      <c r="C25" s="303">
        <v>142</v>
      </c>
      <c r="D25" s="302">
        <v>204684</v>
      </c>
      <c r="E25" s="302">
        <v>3039</v>
      </c>
      <c r="F25" s="302">
        <v>207723</v>
      </c>
      <c r="G25" s="303">
        <v>118</v>
      </c>
      <c r="H25" s="302">
        <v>101429</v>
      </c>
      <c r="I25" s="302">
        <f t="shared" si="0"/>
        <v>309152</v>
      </c>
      <c r="J25" s="291"/>
    </row>
    <row r="26" spans="1:10" s="287" customFormat="1" ht="15" customHeight="1" x14ac:dyDescent="0.2">
      <c r="A26" s="256">
        <v>12</v>
      </c>
      <c r="B26" s="300" t="s">
        <v>1078</v>
      </c>
      <c r="C26" s="303">
        <v>402</v>
      </c>
      <c r="D26" s="302">
        <v>594033</v>
      </c>
      <c r="E26" s="302">
        <v>213</v>
      </c>
      <c r="F26" s="302">
        <v>594246</v>
      </c>
      <c r="G26" s="303">
        <v>425</v>
      </c>
      <c r="H26" s="302">
        <v>312363</v>
      </c>
      <c r="I26" s="302">
        <f t="shared" si="0"/>
        <v>906609</v>
      </c>
      <c r="J26" s="291"/>
    </row>
    <row r="27" spans="1:10" s="287" customFormat="1" ht="15" customHeight="1" x14ac:dyDescent="0.2">
      <c r="A27" s="256">
        <v>13</v>
      </c>
      <c r="B27" s="307" t="s">
        <v>1079</v>
      </c>
      <c r="C27" s="303">
        <v>199</v>
      </c>
      <c r="D27" s="302">
        <v>291216</v>
      </c>
      <c r="E27" s="302">
        <v>274</v>
      </c>
      <c r="F27" s="302">
        <v>291490</v>
      </c>
      <c r="G27" s="303">
        <v>188</v>
      </c>
      <c r="H27" s="302">
        <v>140817</v>
      </c>
      <c r="I27" s="302">
        <f t="shared" si="0"/>
        <v>432307</v>
      </c>
      <c r="J27" s="291"/>
    </row>
    <row r="28" spans="1:10" s="287" customFormat="1" ht="15" customHeight="1" x14ac:dyDescent="0.2">
      <c r="A28" s="256">
        <v>14</v>
      </c>
      <c r="B28" s="308" t="s">
        <v>1080</v>
      </c>
      <c r="C28" s="303">
        <v>446</v>
      </c>
      <c r="D28" s="302">
        <v>642350</v>
      </c>
      <c r="E28" s="302">
        <v>-4584</v>
      </c>
      <c r="F28" s="302">
        <v>637766</v>
      </c>
      <c r="G28" s="303">
        <v>433</v>
      </c>
      <c r="H28" s="302">
        <v>311684</v>
      </c>
      <c r="I28" s="302">
        <f t="shared" si="0"/>
        <v>949450</v>
      </c>
      <c r="J28" s="291"/>
    </row>
    <row r="29" spans="1:10" s="287" customFormat="1" ht="15" customHeight="1" x14ac:dyDescent="0.2">
      <c r="A29" s="256">
        <v>15</v>
      </c>
      <c r="B29" s="309" t="s">
        <v>1081</v>
      </c>
      <c r="C29" s="303">
        <v>505</v>
      </c>
      <c r="D29" s="302">
        <v>628296</v>
      </c>
      <c r="E29" s="302">
        <v>-4340</v>
      </c>
      <c r="F29" s="302">
        <v>623956</v>
      </c>
      <c r="G29" s="303">
        <v>583</v>
      </c>
      <c r="H29" s="302">
        <v>384588</v>
      </c>
      <c r="I29" s="302">
        <f t="shared" si="0"/>
        <v>1008544</v>
      </c>
      <c r="J29" s="291"/>
    </row>
    <row r="30" spans="1:10" s="287" customFormat="1" ht="15" customHeight="1" x14ac:dyDescent="0.2">
      <c r="A30" s="256">
        <v>16</v>
      </c>
      <c r="B30" s="309" t="s">
        <v>1082</v>
      </c>
      <c r="C30" s="303">
        <v>874</v>
      </c>
      <c r="D30" s="302">
        <v>1049331</v>
      </c>
      <c r="E30" s="302">
        <v>-9592</v>
      </c>
      <c r="F30" s="302">
        <v>1039739</v>
      </c>
      <c r="G30" s="303">
        <v>880</v>
      </c>
      <c r="H30" s="302">
        <v>529440</v>
      </c>
      <c r="I30" s="302">
        <f t="shared" si="0"/>
        <v>1569179</v>
      </c>
      <c r="J30" s="291"/>
    </row>
    <row r="31" spans="1:10" s="287" customFormat="1" ht="15" customHeight="1" x14ac:dyDescent="0.2">
      <c r="A31" s="256">
        <v>17</v>
      </c>
      <c r="B31" s="308" t="s">
        <v>1083</v>
      </c>
      <c r="C31" s="303">
        <v>529</v>
      </c>
      <c r="D31" s="302">
        <v>776693</v>
      </c>
      <c r="E31" s="302">
        <v>-5509</v>
      </c>
      <c r="F31" s="302">
        <v>771184</v>
      </c>
      <c r="G31" s="303">
        <v>527</v>
      </c>
      <c r="H31" s="302">
        <v>391338</v>
      </c>
      <c r="I31" s="302">
        <f t="shared" si="0"/>
        <v>1162522</v>
      </c>
      <c r="J31" s="291"/>
    </row>
    <row r="32" spans="1:10" s="287" customFormat="1" ht="15" customHeight="1" x14ac:dyDescent="0.2">
      <c r="A32" s="256">
        <v>18</v>
      </c>
      <c r="B32" s="309" t="s">
        <v>1084</v>
      </c>
      <c r="C32" s="303">
        <v>583</v>
      </c>
      <c r="D32" s="302">
        <v>750912</v>
      </c>
      <c r="E32" s="302">
        <v>-6128</v>
      </c>
      <c r="F32" s="302">
        <v>744784</v>
      </c>
      <c r="G32" s="303">
        <v>592</v>
      </c>
      <c r="H32" s="302">
        <v>385056</v>
      </c>
      <c r="I32" s="302">
        <f t="shared" si="0"/>
        <v>1129840</v>
      </c>
      <c r="J32" s="291"/>
    </row>
    <row r="33" spans="1:10" s="287" customFormat="1" ht="15" customHeight="1" x14ac:dyDescent="0.2">
      <c r="A33" s="256">
        <v>19</v>
      </c>
      <c r="B33" s="274" t="s">
        <v>1085</v>
      </c>
      <c r="C33" s="303">
        <v>632</v>
      </c>
      <c r="D33" s="302">
        <v>686783</v>
      </c>
      <c r="E33" s="302">
        <v>-3191</v>
      </c>
      <c r="F33" s="302">
        <v>683592</v>
      </c>
      <c r="G33" s="303">
        <v>643</v>
      </c>
      <c r="H33" s="302">
        <v>349439</v>
      </c>
      <c r="I33" s="302">
        <f t="shared" si="0"/>
        <v>1033031</v>
      </c>
      <c r="J33" s="291"/>
    </row>
    <row r="34" spans="1:10" s="287" customFormat="1" ht="15" customHeight="1" x14ac:dyDescent="0.2">
      <c r="A34" s="279">
        <v>20</v>
      </c>
      <c r="B34" s="310" t="s">
        <v>1086</v>
      </c>
      <c r="C34" s="311">
        <v>559</v>
      </c>
      <c r="D34" s="312">
        <v>619990</v>
      </c>
      <c r="E34" s="312">
        <v>-3792</v>
      </c>
      <c r="F34" s="312">
        <v>616198</v>
      </c>
      <c r="G34" s="311">
        <v>573</v>
      </c>
      <c r="H34" s="312">
        <v>319765</v>
      </c>
      <c r="I34" s="302">
        <f t="shared" si="0"/>
        <v>935963</v>
      </c>
      <c r="J34" s="291"/>
    </row>
    <row r="35" spans="1:10" s="287" customFormat="1" ht="12" x14ac:dyDescent="0.2">
      <c r="D35" s="313"/>
      <c r="E35" s="313"/>
      <c r="F35" s="240"/>
      <c r="H35" s="291"/>
    </row>
    <row r="36" spans="1:10" s="287" customFormat="1" ht="12" x14ac:dyDescent="0.2">
      <c r="F36" s="240"/>
    </row>
    <row r="37" spans="1:10" s="287" customFormat="1" ht="12" x14ac:dyDescent="0.2">
      <c r="D37" s="314"/>
      <c r="E37" s="314"/>
      <c r="F37" s="240"/>
    </row>
    <row r="38" spans="1:10" s="287" customFormat="1" ht="12" x14ac:dyDescent="0.2">
      <c r="D38" s="313"/>
      <c r="E38" s="313"/>
      <c r="F38" s="240"/>
    </row>
    <row r="39" spans="1:10" s="287" customFormat="1" ht="12" x14ac:dyDescent="0.2">
      <c r="D39" s="313"/>
      <c r="E39" s="313"/>
      <c r="F39" s="240"/>
    </row>
    <row r="40" spans="1:10" s="287" customFormat="1" ht="12" x14ac:dyDescent="0.2">
      <c r="D40" s="313"/>
      <c r="E40" s="313"/>
      <c r="F40" s="240"/>
    </row>
    <row r="41" spans="1:10" s="287" customFormat="1" ht="12" x14ac:dyDescent="0.2">
      <c r="D41" s="313"/>
      <c r="E41" s="313"/>
      <c r="F41" s="240"/>
    </row>
    <row r="42" spans="1:10" s="287" customFormat="1" ht="12" x14ac:dyDescent="0.2">
      <c r="D42" s="313"/>
      <c r="E42" s="313"/>
      <c r="F42" s="240"/>
    </row>
    <row r="43" spans="1:10" s="287" customFormat="1" ht="12" x14ac:dyDescent="0.2">
      <c r="D43" s="313"/>
      <c r="E43" s="313"/>
      <c r="F43" s="240"/>
    </row>
    <row r="44" spans="1:10" s="287" customFormat="1" ht="12" x14ac:dyDescent="0.2">
      <c r="D44" s="313"/>
      <c r="E44" s="313"/>
      <c r="F44" s="240"/>
    </row>
    <row r="45" spans="1:10" s="287" customFormat="1" ht="12" x14ac:dyDescent="0.2">
      <c r="D45" s="313"/>
      <c r="E45" s="313"/>
      <c r="F45" s="240"/>
    </row>
    <row r="46" spans="1:10" s="287" customFormat="1" ht="12" x14ac:dyDescent="0.2">
      <c r="D46" s="313"/>
      <c r="E46" s="313"/>
      <c r="F46" s="240"/>
    </row>
    <row r="47" spans="1:10" s="287" customFormat="1" ht="12" x14ac:dyDescent="0.2">
      <c r="D47" s="313"/>
      <c r="E47" s="313"/>
      <c r="F47" s="240"/>
    </row>
    <row r="48" spans="1:10" s="287" customFormat="1" ht="12" x14ac:dyDescent="0.2">
      <c r="D48" s="313"/>
      <c r="E48" s="313"/>
      <c r="F48" s="240"/>
    </row>
    <row r="49" spans="4:6" s="287" customFormat="1" ht="12" x14ac:dyDescent="0.2">
      <c r="D49" s="313"/>
      <c r="E49" s="313"/>
      <c r="F49" s="240"/>
    </row>
    <row r="50" spans="4:6" s="287" customFormat="1" ht="12" x14ac:dyDescent="0.2">
      <c r="D50" s="313"/>
      <c r="E50" s="313"/>
      <c r="F50" s="240"/>
    </row>
    <row r="51" spans="4:6" s="287" customFormat="1" ht="12" x14ac:dyDescent="0.2">
      <c r="D51" s="313"/>
      <c r="E51" s="313"/>
      <c r="F51" s="240"/>
    </row>
    <row r="52" spans="4:6" s="287" customFormat="1" ht="12" x14ac:dyDescent="0.2">
      <c r="D52" s="313"/>
      <c r="E52" s="313"/>
      <c r="F52" s="240"/>
    </row>
    <row r="53" spans="4:6" s="287" customFormat="1" ht="12" x14ac:dyDescent="0.2">
      <c r="D53" s="313"/>
      <c r="E53" s="313"/>
      <c r="F53" s="240"/>
    </row>
    <row r="54" spans="4:6" s="287" customFormat="1" ht="12" x14ac:dyDescent="0.2">
      <c r="D54" s="313"/>
      <c r="E54" s="313"/>
      <c r="F54" s="240"/>
    </row>
    <row r="55" spans="4:6" s="287" customFormat="1" ht="12" x14ac:dyDescent="0.2">
      <c r="D55" s="313"/>
      <c r="E55" s="313"/>
      <c r="F55" s="240"/>
    </row>
    <row r="56" spans="4:6" s="287" customFormat="1" ht="12" x14ac:dyDescent="0.2">
      <c r="D56" s="313"/>
      <c r="E56" s="313"/>
      <c r="F56" s="240"/>
    </row>
    <row r="57" spans="4:6" s="287" customFormat="1" ht="12" x14ac:dyDescent="0.2">
      <c r="D57" s="313"/>
      <c r="E57" s="313"/>
      <c r="F57" s="240"/>
    </row>
    <row r="58" spans="4:6" s="287" customFormat="1" ht="12" x14ac:dyDescent="0.2">
      <c r="D58" s="313"/>
      <c r="E58" s="313"/>
      <c r="F58" s="240"/>
    </row>
    <row r="59" spans="4:6" s="287" customFormat="1" ht="12" x14ac:dyDescent="0.2">
      <c r="D59" s="313"/>
      <c r="E59" s="313"/>
      <c r="F59" s="240"/>
    </row>
    <row r="60" spans="4:6" s="287" customFormat="1" ht="12" x14ac:dyDescent="0.2">
      <c r="D60" s="313"/>
      <c r="E60" s="313"/>
      <c r="F60" s="240"/>
    </row>
    <row r="61" spans="4:6" s="287" customFormat="1" ht="12" x14ac:dyDescent="0.2">
      <c r="D61" s="313"/>
      <c r="E61" s="313"/>
      <c r="F61" s="240"/>
    </row>
    <row r="62" spans="4:6" s="287" customFormat="1" ht="12" x14ac:dyDescent="0.2">
      <c r="D62" s="313"/>
      <c r="E62" s="313"/>
      <c r="F62" s="240"/>
    </row>
    <row r="63" spans="4:6" s="287" customFormat="1" ht="12" x14ac:dyDescent="0.2">
      <c r="D63" s="313"/>
      <c r="E63" s="313"/>
      <c r="F63" s="240"/>
    </row>
    <row r="64" spans="4:6" s="287" customFormat="1" ht="12" x14ac:dyDescent="0.2">
      <c r="D64" s="313"/>
      <c r="E64" s="313"/>
      <c r="F64" s="240"/>
    </row>
    <row r="65" spans="4:6" s="287" customFormat="1" ht="12" x14ac:dyDescent="0.2">
      <c r="D65" s="313"/>
      <c r="E65" s="313"/>
      <c r="F65" s="240"/>
    </row>
    <row r="66" spans="4:6" s="287" customFormat="1" ht="12" x14ac:dyDescent="0.2">
      <c r="D66" s="313"/>
      <c r="E66" s="313"/>
      <c r="F66" s="240"/>
    </row>
    <row r="67" spans="4:6" s="287" customFormat="1" ht="12" x14ac:dyDescent="0.2">
      <c r="D67" s="313"/>
      <c r="E67" s="313"/>
      <c r="F67" s="240"/>
    </row>
    <row r="68" spans="4:6" s="287" customFormat="1" ht="12" x14ac:dyDescent="0.2">
      <c r="D68" s="313"/>
      <c r="E68" s="313"/>
      <c r="F68" s="240"/>
    </row>
    <row r="69" spans="4:6" s="287" customFormat="1" ht="12" x14ac:dyDescent="0.2">
      <c r="D69" s="313"/>
      <c r="E69" s="313"/>
      <c r="F69" s="240"/>
    </row>
    <row r="70" spans="4:6" s="287" customFormat="1" ht="12" x14ac:dyDescent="0.2">
      <c r="D70" s="313"/>
      <c r="E70" s="313"/>
      <c r="F70" s="240"/>
    </row>
    <row r="71" spans="4:6" s="287" customFormat="1" ht="12" x14ac:dyDescent="0.2">
      <c r="D71" s="313"/>
      <c r="E71" s="313"/>
      <c r="F71" s="240"/>
    </row>
    <row r="72" spans="4:6" s="287" customFormat="1" ht="12" x14ac:dyDescent="0.2">
      <c r="D72" s="313"/>
      <c r="E72" s="313"/>
      <c r="F72" s="240"/>
    </row>
    <row r="73" spans="4:6" s="287" customFormat="1" ht="12" x14ac:dyDescent="0.2">
      <c r="D73" s="313"/>
      <c r="E73" s="313"/>
      <c r="F73" s="240"/>
    </row>
    <row r="74" spans="4:6" s="287" customFormat="1" ht="12" x14ac:dyDescent="0.2">
      <c r="D74" s="313"/>
      <c r="E74" s="313"/>
      <c r="F74" s="240"/>
    </row>
    <row r="75" spans="4:6" s="287" customFormat="1" ht="12" x14ac:dyDescent="0.2">
      <c r="D75" s="313"/>
      <c r="E75" s="313"/>
      <c r="F75" s="240"/>
    </row>
    <row r="76" spans="4:6" s="287" customFormat="1" ht="12" x14ac:dyDescent="0.2">
      <c r="D76" s="313"/>
      <c r="E76" s="313"/>
      <c r="F76" s="240"/>
    </row>
    <row r="77" spans="4:6" s="287" customFormat="1" ht="12" x14ac:dyDescent="0.2">
      <c r="D77" s="313"/>
      <c r="E77" s="313"/>
      <c r="F77" s="240"/>
    </row>
    <row r="78" spans="4:6" s="287" customFormat="1" ht="12" x14ac:dyDescent="0.2">
      <c r="D78" s="313"/>
      <c r="E78" s="313"/>
      <c r="F78" s="240"/>
    </row>
    <row r="79" spans="4:6" s="287" customFormat="1" ht="12" x14ac:dyDescent="0.2">
      <c r="D79" s="313"/>
      <c r="E79" s="313"/>
      <c r="F79" s="240"/>
    </row>
    <row r="80" spans="4:6" s="287" customFormat="1" ht="12" x14ac:dyDescent="0.2">
      <c r="D80" s="313"/>
      <c r="E80" s="313"/>
      <c r="F80" s="240"/>
    </row>
    <row r="81" spans="4:6" s="287" customFormat="1" ht="12" x14ac:dyDescent="0.2">
      <c r="D81" s="313"/>
      <c r="E81" s="313"/>
      <c r="F81" s="240"/>
    </row>
    <row r="82" spans="4:6" s="287" customFormat="1" ht="12" x14ac:dyDescent="0.2">
      <c r="D82" s="313"/>
      <c r="E82" s="313"/>
      <c r="F82" s="240"/>
    </row>
    <row r="83" spans="4:6" s="287" customFormat="1" ht="12" x14ac:dyDescent="0.2">
      <c r="D83" s="313"/>
      <c r="E83" s="313"/>
      <c r="F83" s="240"/>
    </row>
    <row r="84" spans="4:6" s="287" customFormat="1" ht="12" x14ac:dyDescent="0.2">
      <c r="D84" s="313"/>
      <c r="E84" s="313"/>
      <c r="F84" s="240"/>
    </row>
    <row r="85" spans="4:6" s="287" customFormat="1" ht="12" x14ac:dyDescent="0.2">
      <c r="D85" s="313"/>
      <c r="E85" s="313"/>
      <c r="F85" s="240"/>
    </row>
    <row r="86" spans="4:6" s="287" customFormat="1" ht="12" x14ac:dyDescent="0.2">
      <c r="D86" s="313"/>
      <c r="E86" s="313"/>
      <c r="F86" s="240"/>
    </row>
    <row r="87" spans="4:6" s="287" customFormat="1" ht="12" x14ac:dyDescent="0.2">
      <c r="D87" s="313"/>
      <c r="E87" s="313"/>
      <c r="F87" s="240"/>
    </row>
    <row r="88" spans="4:6" s="287" customFormat="1" ht="12" x14ac:dyDescent="0.2">
      <c r="D88" s="313"/>
      <c r="E88" s="313"/>
      <c r="F88" s="240"/>
    </row>
    <row r="89" spans="4:6" s="287" customFormat="1" ht="12" x14ac:dyDescent="0.2">
      <c r="D89" s="313"/>
      <c r="E89" s="313"/>
      <c r="F89" s="240"/>
    </row>
    <row r="90" spans="4:6" s="287" customFormat="1" ht="12" x14ac:dyDescent="0.2">
      <c r="D90" s="313"/>
      <c r="E90" s="313"/>
      <c r="F90" s="240"/>
    </row>
    <row r="91" spans="4:6" s="287" customFormat="1" ht="12" x14ac:dyDescent="0.2">
      <c r="D91" s="313"/>
      <c r="E91" s="313"/>
      <c r="F91" s="240"/>
    </row>
    <row r="92" spans="4:6" s="287" customFormat="1" ht="12" x14ac:dyDescent="0.2">
      <c r="D92" s="313"/>
      <c r="E92" s="313"/>
      <c r="F92" s="240"/>
    </row>
    <row r="93" spans="4:6" s="287" customFormat="1" ht="12" x14ac:dyDescent="0.2">
      <c r="D93" s="313"/>
      <c r="E93" s="313"/>
      <c r="F93" s="240"/>
    </row>
    <row r="94" spans="4:6" s="287" customFormat="1" ht="12" x14ac:dyDescent="0.2">
      <c r="D94" s="313"/>
      <c r="E94" s="313"/>
      <c r="F94" s="240"/>
    </row>
    <row r="95" spans="4:6" s="287" customFormat="1" ht="12" x14ac:dyDescent="0.2">
      <c r="D95" s="313"/>
      <c r="E95" s="313"/>
      <c r="F95" s="240"/>
    </row>
    <row r="96" spans="4:6" s="287" customFormat="1" ht="12" x14ac:dyDescent="0.2">
      <c r="D96" s="313"/>
      <c r="E96" s="313"/>
      <c r="F96" s="240"/>
    </row>
    <row r="97" spans="4:6" s="287" customFormat="1" ht="12" x14ac:dyDescent="0.2">
      <c r="D97" s="313"/>
      <c r="E97" s="313"/>
      <c r="F97" s="240"/>
    </row>
    <row r="98" spans="4:6" s="287" customFormat="1" ht="12" x14ac:dyDescent="0.2">
      <c r="D98" s="313"/>
      <c r="E98" s="313"/>
      <c r="F98" s="240"/>
    </row>
    <row r="99" spans="4:6" s="287" customFormat="1" ht="12" x14ac:dyDescent="0.2">
      <c r="D99" s="313"/>
      <c r="E99" s="313"/>
      <c r="F99" s="240"/>
    </row>
    <row r="100" spans="4:6" s="287" customFormat="1" ht="12" x14ac:dyDescent="0.2">
      <c r="D100" s="313"/>
      <c r="E100" s="313"/>
      <c r="F100" s="240"/>
    </row>
    <row r="101" spans="4:6" s="287" customFormat="1" ht="12" x14ac:dyDescent="0.2">
      <c r="D101" s="313"/>
      <c r="E101" s="313"/>
      <c r="F101" s="240"/>
    </row>
    <row r="102" spans="4:6" s="287" customFormat="1" ht="12" x14ac:dyDescent="0.2">
      <c r="D102" s="313"/>
      <c r="E102" s="313"/>
      <c r="F102" s="240"/>
    </row>
    <row r="103" spans="4:6" s="287" customFormat="1" ht="12" x14ac:dyDescent="0.2">
      <c r="D103" s="313"/>
      <c r="E103" s="313"/>
      <c r="F103" s="240"/>
    </row>
    <row r="104" spans="4:6" s="287" customFormat="1" ht="12" x14ac:dyDescent="0.2">
      <c r="D104" s="313"/>
      <c r="E104" s="313"/>
      <c r="F104" s="240"/>
    </row>
    <row r="105" spans="4:6" s="287" customFormat="1" ht="12" x14ac:dyDescent="0.2">
      <c r="D105" s="313"/>
      <c r="E105" s="313"/>
      <c r="F105" s="240"/>
    </row>
    <row r="106" spans="4:6" s="287" customFormat="1" ht="12" x14ac:dyDescent="0.2">
      <c r="D106" s="313"/>
      <c r="E106" s="313"/>
      <c r="F106" s="240"/>
    </row>
    <row r="107" spans="4:6" s="287" customFormat="1" ht="12" x14ac:dyDescent="0.2">
      <c r="D107" s="313"/>
      <c r="E107" s="313"/>
      <c r="F107" s="240"/>
    </row>
    <row r="108" spans="4:6" s="287" customFormat="1" ht="12" x14ac:dyDescent="0.2">
      <c r="D108" s="313"/>
      <c r="E108" s="313"/>
      <c r="F108" s="240"/>
    </row>
    <row r="109" spans="4:6" s="287" customFormat="1" ht="12" x14ac:dyDescent="0.2">
      <c r="D109" s="313"/>
      <c r="E109" s="313"/>
      <c r="F109" s="240"/>
    </row>
    <row r="110" spans="4:6" s="287" customFormat="1" ht="12" x14ac:dyDescent="0.2">
      <c r="D110" s="313"/>
      <c r="E110" s="313"/>
      <c r="F110" s="240"/>
    </row>
    <row r="111" spans="4:6" s="287" customFormat="1" ht="12" x14ac:dyDescent="0.2">
      <c r="D111" s="313"/>
      <c r="E111" s="313"/>
      <c r="F111" s="240"/>
    </row>
    <row r="112" spans="4:6" s="287" customFormat="1" ht="12" x14ac:dyDescent="0.2">
      <c r="D112" s="313"/>
      <c r="E112" s="313"/>
      <c r="F112" s="240"/>
    </row>
    <row r="113" spans="4:6" s="287" customFormat="1" ht="12" x14ac:dyDescent="0.2">
      <c r="D113" s="313"/>
      <c r="E113" s="313"/>
      <c r="F113" s="240"/>
    </row>
    <row r="114" spans="4:6" s="287" customFormat="1" ht="12" x14ac:dyDescent="0.2">
      <c r="D114" s="313"/>
      <c r="E114" s="313"/>
      <c r="F114" s="240"/>
    </row>
    <row r="115" spans="4:6" s="287" customFormat="1" ht="12" x14ac:dyDescent="0.2">
      <c r="D115" s="313"/>
      <c r="E115" s="313"/>
      <c r="F115" s="240"/>
    </row>
    <row r="116" spans="4:6" s="287" customFormat="1" ht="12" x14ac:dyDescent="0.2">
      <c r="D116" s="313"/>
      <c r="E116" s="313"/>
      <c r="F116" s="240"/>
    </row>
    <row r="117" spans="4:6" s="287" customFormat="1" ht="12" x14ac:dyDescent="0.2">
      <c r="D117" s="313"/>
      <c r="E117" s="313"/>
      <c r="F117" s="240"/>
    </row>
    <row r="118" spans="4:6" s="287" customFormat="1" ht="12" x14ac:dyDescent="0.2">
      <c r="D118" s="313"/>
      <c r="E118" s="313"/>
      <c r="F118" s="240"/>
    </row>
    <row r="119" spans="4:6" s="287" customFormat="1" ht="12" x14ac:dyDescent="0.2">
      <c r="D119" s="313"/>
      <c r="E119" s="313"/>
      <c r="F119" s="240"/>
    </row>
    <row r="120" spans="4:6" s="287" customFormat="1" ht="12" x14ac:dyDescent="0.2">
      <c r="D120" s="313"/>
      <c r="E120" s="313"/>
      <c r="F120" s="240"/>
    </row>
    <row r="121" spans="4:6" s="287" customFormat="1" ht="12" x14ac:dyDescent="0.2">
      <c r="D121" s="313"/>
      <c r="E121" s="313"/>
      <c r="F121" s="240"/>
    </row>
    <row r="122" spans="4:6" s="287" customFormat="1" ht="12" x14ac:dyDescent="0.2">
      <c r="D122" s="313"/>
      <c r="E122" s="313"/>
      <c r="F122" s="240"/>
    </row>
    <row r="123" spans="4:6" s="287" customFormat="1" ht="12" x14ac:dyDescent="0.2">
      <c r="D123" s="313"/>
      <c r="E123" s="313"/>
      <c r="F123" s="240"/>
    </row>
    <row r="124" spans="4:6" s="287" customFormat="1" ht="12" x14ac:dyDescent="0.2">
      <c r="D124" s="313"/>
      <c r="E124" s="313"/>
      <c r="F124" s="240"/>
    </row>
    <row r="125" spans="4:6" s="287" customFormat="1" ht="12" x14ac:dyDescent="0.2">
      <c r="D125" s="313"/>
      <c r="E125" s="313"/>
      <c r="F125" s="240"/>
    </row>
    <row r="126" spans="4:6" s="287" customFormat="1" ht="12" x14ac:dyDescent="0.2">
      <c r="D126" s="313"/>
      <c r="E126" s="313"/>
      <c r="F126" s="240"/>
    </row>
  </sheetData>
  <mergeCells count="5">
    <mergeCell ref="B5:H5"/>
    <mergeCell ref="B6:H6"/>
    <mergeCell ref="B7:H7"/>
    <mergeCell ref="A9:A12"/>
    <mergeCell ref="B9:B12"/>
  </mergeCells>
  <pageMargins left="0.78740157480314965" right="0.78740157480314965" top="1.1811023622047245" bottom="0.39370078740157483" header="0" footer="0"/>
  <pageSetup paperSize="9" scale="8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FFD3-3F8E-4CC7-9BE4-0B92AAE41529}">
  <sheetPr>
    <pageSetUpPr fitToPage="1"/>
  </sheetPr>
  <dimension ref="A1:O113"/>
  <sheetViews>
    <sheetView topLeftCell="F1" workbookViewId="0">
      <selection sqref="A1:O29"/>
    </sheetView>
  </sheetViews>
  <sheetFormatPr defaultRowHeight="12.75" outlineLevelCol="1" x14ac:dyDescent="0.2"/>
  <cols>
    <col min="1" max="1" width="6.28515625" style="145" customWidth="1"/>
    <col min="2" max="2" width="4.140625" style="145" bestFit="1" customWidth="1"/>
    <col min="3" max="3" width="35.140625" style="145" customWidth="1"/>
    <col min="4" max="5" width="12.7109375" style="373" customWidth="1"/>
    <col min="6" max="8" width="12.7109375" style="145" customWidth="1"/>
    <col min="9" max="12" width="12.7109375" style="145" customWidth="1" outlineLevel="1"/>
    <col min="13" max="13" width="14.7109375" style="145" customWidth="1" outlineLevel="1"/>
    <col min="14" max="14" width="15" style="145" customWidth="1" outlineLevel="1"/>
    <col min="15" max="15" width="14.28515625" style="145" customWidth="1" outlineLevel="1"/>
    <col min="16" max="16" width="12.5703125" style="145" customWidth="1"/>
    <col min="17" max="251" width="9.140625" style="145"/>
    <col min="252" max="252" width="3.85546875" style="145" bestFit="1" customWidth="1"/>
    <col min="253" max="253" width="4.140625" style="145" bestFit="1" customWidth="1"/>
    <col min="254" max="254" width="52.7109375" style="145" customWidth="1"/>
    <col min="255" max="256" width="13.85546875" style="145" customWidth="1"/>
    <col min="257" max="261" width="0" style="145" hidden="1" customWidth="1"/>
    <col min="262" max="262" width="16" style="145" customWidth="1"/>
    <col min="263" max="263" width="13.7109375" style="145" customWidth="1"/>
    <col min="264" max="264" width="13" style="145" customWidth="1"/>
    <col min="265" max="507" width="9.140625" style="145"/>
    <col min="508" max="508" width="3.85546875" style="145" bestFit="1" customWidth="1"/>
    <col min="509" max="509" width="4.140625" style="145" bestFit="1" customWidth="1"/>
    <col min="510" max="510" width="52.7109375" style="145" customWidth="1"/>
    <col min="511" max="512" width="13.85546875" style="145" customWidth="1"/>
    <col min="513" max="517" width="0" style="145" hidden="1" customWidth="1"/>
    <col min="518" max="518" width="16" style="145" customWidth="1"/>
    <col min="519" max="519" width="13.7109375" style="145" customWidth="1"/>
    <col min="520" max="520" width="13" style="145" customWidth="1"/>
    <col min="521" max="763" width="9.140625" style="145"/>
    <col min="764" max="764" width="3.85546875" style="145" bestFit="1" customWidth="1"/>
    <col min="765" max="765" width="4.140625" style="145" bestFit="1" customWidth="1"/>
    <col min="766" max="766" width="52.7109375" style="145" customWidth="1"/>
    <col min="767" max="768" width="13.85546875" style="145" customWidth="1"/>
    <col min="769" max="773" width="0" style="145" hidden="1" customWidth="1"/>
    <col min="774" max="774" width="16" style="145" customWidth="1"/>
    <col min="775" max="775" width="13.7109375" style="145" customWidth="1"/>
    <col min="776" max="776" width="13" style="145" customWidth="1"/>
    <col min="777" max="1019" width="9.140625" style="145"/>
    <col min="1020" max="1020" width="3.85546875" style="145" bestFit="1" customWidth="1"/>
    <col min="1021" max="1021" width="4.140625" style="145" bestFit="1" customWidth="1"/>
    <col min="1022" max="1022" width="52.7109375" style="145" customWidth="1"/>
    <col min="1023" max="1024" width="13.85546875" style="145" customWidth="1"/>
    <col min="1025" max="1029" width="0" style="145" hidden="1" customWidth="1"/>
    <col min="1030" max="1030" width="16" style="145" customWidth="1"/>
    <col min="1031" max="1031" width="13.7109375" style="145" customWidth="1"/>
    <col min="1032" max="1032" width="13" style="145" customWidth="1"/>
    <col min="1033" max="1275" width="9.140625" style="145"/>
    <col min="1276" max="1276" width="3.85546875" style="145" bestFit="1" customWidth="1"/>
    <col min="1277" max="1277" width="4.140625" style="145" bestFit="1" customWidth="1"/>
    <col min="1278" max="1278" width="52.7109375" style="145" customWidth="1"/>
    <col min="1279" max="1280" width="13.85546875" style="145" customWidth="1"/>
    <col min="1281" max="1285" width="0" style="145" hidden="1" customWidth="1"/>
    <col min="1286" max="1286" width="16" style="145" customWidth="1"/>
    <col min="1287" max="1287" width="13.7109375" style="145" customWidth="1"/>
    <col min="1288" max="1288" width="13" style="145" customWidth="1"/>
    <col min="1289" max="1531" width="9.140625" style="145"/>
    <col min="1532" max="1532" width="3.85546875" style="145" bestFit="1" customWidth="1"/>
    <col min="1533" max="1533" width="4.140625" style="145" bestFit="1" customWidth="1"/>
    <col min="1534" max="1534" width="52.7109375" style="145" customWidth="1"/>
    <col min="1535" max="1536" width="13.85546875" style="145" customWidth="1"/>
    <col min="1537" max="1541" width="0" style="145" hidden="1" customWidth="1"/>
    <col min="1542" max="1542" width="16" style="145" customWidth="1"/>
    <col min="1543" max="1543" width="13.7109375" style="145" customWidth="1"/>
    <col min="1544" max="1544" width="13" style="145" customWidth="1"/>
    <col min="1545" max="1787" width="9.140625" style="145"/>
    <col min="1788" max="1788" width="3.85546875" style="145" bestFit="1" customWidth="1"/>
    <col min="1789" max="1789" width="4.140625" style="145" bestFit="1" customWidth="1"/>
    <col min="1790" max="1790" width="52.7109375" style="145" customWidth="1"/>
    <col min="1791" max="1792" width="13.85546875" style="145" customWidth="1"/>
    <col min="1793" max="1797" width="0" style="145" hidden="1" customWidth="1"/>
    <col min="1798" max="1798" width="16" style="145" customWidth="1"/>
    <col min="1799" max="1799" width="13.7109375" style="145" customWidth="1"/>
    <col min="1800" max="1800" width="13" style="145" customWidth="1"/>
    <col min="1801" max="2043" width="9.140625" style="145"/>
    <col min="2044" max="2044" width="3.85546875" style="145" bestFit="1" customWidth="1"/>
    <col min="2045" max="2045" width="4.140625" style="145" bestFit="1" customWidth="1"/>
    <col min="2046" max="2046" width="52.7109375" style="145" customWidth="1"/>
    <col min="2047" max="2048" width="13.85546875" style="145" customWidth="1"/>
    <col min="2049" max="2053" width="0" style="145" hidden="1" customWidth="1"/>
    <col min="2054" max="2054" width="16" style="145" customWidth="1"/>
    <col min="2055" max="2055" width="13.7109375" style="145" customWidth="1"/>
    <col min="2056" max="2056" width="13" style="145" customWidth="1"/>
    <col min="2057" max="2299" width="9.140625" style="145"/>
    <col min="2300" max="2300" width="3.85546875" style="145" bestFit="1" customWidth="1"/>
    <col min="2301" max="2301" width="4.140625" style="145" bestFit="1" customWidth="1"/>
    <col min="2302" max="2302" width="52.7109375" style="145" customWidth="1"/>
    <col min="2303" max="2304" width="13.85546875" style="145" customWidth="1"/>
    <col min="2305" max="2309" width="0" style="145" hidden="1" customWidth="1"/>
    <col min="2310" max="2310" width="16" style="145" customWidth="1"/>
    <col min="2311" max="2311" width="13.7109375" style="145" customWidth="1"/>
    <col min="2312" max="2312" width="13" style="145" customWidth="1"/>
    <col min="2313" max="2555" width="9.140625" style="145"/>
    <col min="2556" max="2556" width="3.85546875" style="145" bestFit="1" customWidth="1"/>
    <col min="2557" max="2557" width="4.140625" style="145" bestFit="1" customWidth="1"/>
    <col min="2558" max="2558" width="52.7109375" style="145" customWidth="1"/>
    <col min="2559" max="2560" width="13.85546875" style="145" customWidth="1"/>
    <col min="2561" max="2565" width="0" style="145" hidden="1" customWidth="1"/>
    <col min="2566" max="2566" width="16" style="145" customWidth="1"/>
    <col min="2567" max="2567" width="13.7109375" style="145" customWidth="1"/>
    <col min="2568" max="2568" width="13" style="145" customWidth="1"/>
    <col min="2569" max="2811" width="9.140625" style="145"/>
    <col min="2812" max="2812" width="3.85546875" style="145" bestFit="1" customWidth="1"/>
    <col min="2813" max="2813" width="4.140625" style="145" bestFit="1" customWidth="1"/>
    <col min="2814" max="2814" width="52.7109375" style="145" customWidth="1"/>
    <col min="2815" max="2816" width="13.85546875" style="145" customWidth="1"/>
    <col min="2817" max="2821" width="0" style="145" hidden="1" customWidth="1"/>
    <col min="2822" max="2822" width="16" style="145" customWidth="1"/>
    <col min="2823" max="2823" width="13.7109375" style="145" customWidth="1"/>
    <col min="2824" max="2824" width="13" style="145" customWidth="1"/>
    <col min="2825" max="3067" width="9.140625" style="145"/>
    <col min="3068" max="3068" width="3.85546875" style="145" bestFit="1" customWidth="1"/>
    <col min="3069" max="3069" width="4.140625" style="145" bestFit="1" customWidth="1"/>
    <col min="3070" max="3070" width="52.7109375" style="145" customWidth="1"/>
    <col min="3071" max="3072" width="13.85546875" style="145" customWidth="1"/>
    <col min="3073" max="3077" width="0" style="145" hidden="1" customWidth="1"/>
    <col min="3078" max="3078" width="16" style="145" customWidth="1"/>
    <col min="3079" max="3079" width="13.7109375" style="145" customWidth="1"/>
    <col min="3080" max="3080" width="13" style="145" customWidth="1"/>
    <col min="3081" max="3323" width="9.140625" style="145"/>
    <col min="3324" max="3324" width="3.85546875" style="145" bestFit="1" customWidth="1"/>
    <col min="3325" max="3325" width="4.140625" style="145" bestFit="1" customWidth="1"/>
    <col min="3326" max="3326" width="52.7109375" style="145" customWidth="1"/>
    <col min="3327" max="3328" width="13.85546875" style="145" customWidth="1"/>
    <col min="3329" max="3333" width="0" style="145" hidden="1" customWidth="1"/>
    <col min="3334" max="3334" width="16" style="145" customWidth="1"/>
    <col min="3335" max="3335" width="13.7109375" style="145" customWidth="1"/>
    <col min="3336" max="3336" width="13" style="145" customWidth="1"/>
    <col min="3337" max="3579" width="9.140625" style="145"/>
    <col min="3580" max="3580" width="3.85546875" style="145" bestFit="1" customWidth="1"/>
    <col min="3581" max="3581" width="4.140625" style="145" bestFit="1" customWidth="1"/>
    <col min="3582" max="3582" width="52.7109375" style="145" customWidth="1"/>
    <col min="3583" max="3584" width="13.85546875" style="145" customWidth="1"/>
    <col min="3585" max="3589" width="0" style="145" hidden="1" customWidth="1"/>
    <col min="3590" max="3590" width="16" style="145" customWidth="1"/>
    <col min="3591" max="3591" width="13.7109375" style="145" customWidth="1"/>
    <col min="3592" max="3592" width="13" style="145" customWidth="1"/>
    <col min="3593" max="3835" width="9.140625" style="145"/>
    <col min="3836" max="3836" width="3.85546875" style="145" bestFit="1" customWidth="1"/>
    <col min="3837" max="3837" width="4.140625" style="145" bestFit="1" customWidth="1"/>
    <col min="3838" max="3838" width="52.7109375" style="145" customWidth="1"/>
    <col min="3839" max="3840" width="13.85546875" style="145" customWidth="1"/>
    <col min="3841" max="3845" width="0" style="145" hidden="1" customWidth="1"/>
    <col min="3846" max="3846" width="16" style="145" customWidth="1"/>
    <col min="3847" max="3847" width="13.7109375" style="145" customWidth="1"/>
    <col min="3848" max="3848" width="13" style="145" customWidth="1"/>
    <col min="3849" max="4091" width="9.140625" style="145"/>
    <col min="4092" max="4092" width="3.85546875" style="145" bestFit="1" customWidth="1"/>
    <col min="4093" max="4093" width="4.140625" style="145" bestFit="1" customWidth="1"/>
    <col min="4094" max="4094" width="52.7109375" style="145" customWidth="1"/>
    <col min="4095" max="4096" width="13.85546875" style="145" customWidth="1"/>
    <col min="4097" max="4101" width="0" style="145" hidden="1" customWidth="1"/>
    <col min="4102" max="4102" width="16" style="145" customWidth="1"/>
    <col min="4103" max="4103" width="13.7109375" style="145" customWidth="1"/>
    <col min="4104" max="4104" width="13" style="145" customWidth="1"/>
    <col min="4105" max="4347" width="9.140625" style="145"/>
    <col min="4348" max="4348" width="3.85546875" style="145" bestFit="1" customWidth="1"/>
    <col min="4349" max="4349" width="4.140625" style="145" bestFit="1" customWidth="1"/>
    <col min="4350" max="4350" width="52.7109375" style="145" customWidth="1"/>
    <col min="4351" max="4352" width="13.85546875" style="145" customWidth="1"/>
    <col min="4353" max="4357" width="0" style="145" hidden="1" customWidth="1"/>
    <col min="4358" max="4358" width="16" style="145" customWidth="1"/>
    <col min="4359" max="4359" width="13.7109375" style="145" customWidth="1"/>
    <col min="4360" max="4360" width="13" style="145" customWidth="1"/>
    <col min="4361" max="4603" width="9.140625" style="145"/>
    <col min="4604" max="4604" width="3.85546875" style="145" bestFit="1" customWidth="1"/>
    <col min="4605" max="4605" width="4.140625" style="145" bestFit="1" customWidth="1"/>
    <col min="4606" max="4606" width="52.7109375" style="145" customWidth="1"/>
    <col min="4607" max="4608" width="13.85546875" style="145" customWidth="1"/>
    <col min="4609" max="4613" width="0" style="145" hidden="1" customWidth="1"/>
    <col min="4614" max="4614" width="16" style="145" customWidth="1"/>
    <col min="4615" max="4615" width="13.7109375" style="145" customWidth="1"/>
    <col min="4616" max="4616" width="13" style="145" customWidth="1"/>
    <col min="4617" max="4859" width="9.140625" style="145"/>
    <col min="4860" max="4860" width="3.85546875" style="145" bestFit="1" customWidth="1"/>
    <col min="4861" max="4861" width="4.140625" style="145" bestFit="1" customWidth="1"/>
    <col min="4862" max="4862" width="52.7109375" style="145" customWidth="1"/>
    <col min="4863" max="4864" width="13.85546875" style="145" customWidth="1"/>
    <col min="4865" max="4869" width="0" style="145" hidden="1" customWidth="1"/>
    <col min="4870" max="4870" width="16" style="145" customWidth="1"/>
    <col min="4871" max="4871" width="13.7109375" style="145" customWidth="1"/>
    <col min="4872" max="4872" width="13" style="145" customWidth="1"/>
    <col min="4873" max="5115" width="9.140625" style="145"/>
    <col min="5116" max="5116" width="3.85546875" style="145" bestFit="1" customWidth="1"/>
    <col min="5117" max="5117" width="4.140625" style="145" bestFit="1" customWidth="1"/>
    <col min="5118" max="5118" width="52.7109375" style="145" customWidth="1"/>
    <col min="5119" max="5120" width="13.85546875" style="145" customWidth="1"/>
    <col min="5121" max="5125" width="0" style="145" hidden="1" customWidth="1"/>
    <col min="5126" max="5126" width="16" style="145" customWidth="1"/>
    <col min="5127" max="5127" width="13.7109375" style="145" customWidth="1"/>
    <col min="5128" max="5128" width="13" style="145" customWidth="1"/>
    <col min="5129" max="5371" width="9.140625" style="145"/>
    <col min="5372" max="5372" width="3.85546875" style="145" bestFit="1" customWidth="1"/>
    <col min="5373" max="5373" width="4.140625" style="145" bestFit="1" customWidth="1"/>
    <col min="5374" max="5374" width="52.7109375" style="145" customWidth="1"/>
    <col min="5375" max="5376" width="13.85546875" style="145" customWidth="1"/>
    <col min="5377" max="5381" width="0" style="145" hidden="1" customWidth="1"/>
    <col min="5382" max="5382" width="16" style="145" customWidth="1"/>
    <col min="5383" max="5383" width="13.7109375" style="145" customWidth="1"/>
    <col min="5384" max="5384" width="13" style="145" customWidth="1"/>
    <col min="5385" max="5627" width="9.140625" style="145"/>
    <col min="5628" max="5628" width="3.85546875" style="145" bestFit="1" customWidth="1"/>
    <col min="5629" max="5629" width="4.140625" style="145" bestFit="1" customWidth="1"/>
    <col min="5630" max="5630" width="52.7109375" style="145" customWidth="1"/>
    <col min="5631" max="5632" width="13.85546875" style="145" customWidth="1"/>
    <col min="5633" max="5637" width="0" style="145" hidden="1" customWidth="1"/>
    <col min="5638" max="5638" width="16" style="145" customWidth="1"/>
    <col min="5639" max="5639" width="13.7109375" style="145" customWidth="1"/>
    <col min="5640" max="5640" width="13" style="145" customWidth="1"/>
    <col min="5641" max="5883" width="9.140625" style="145"/>
    <col min="5884" max="5884" width="3.85546875" style="145" bestFit="1" customWidth="1"/>
    <col min="5885" max="5885" width="4.140625" style="145" bestFit="1" customWidth="1"/>
    <col min="5886" max="5886" width="52.7109375" style="145" customWidth="1"/>
    <col min="5887" max="5888" width="13.85546875" style="145" customWidth="1"/>
    <col min="5889" max="5893" width="0" style="145" hidden="1" customWidth="1"/>
    <col min="5894" max="5894" width="16" style="145" customWidth="1"/>
    <col min="5895" max="5895" width="13.7109375" style="145" customWidth="1"/>
    <col min="5896" max="5896" width="13" style="145" customWidth="1"/>
    <col min="5897" max="6139" width="9.140625" style="145"/>
    <col min="6140" max="6140" width="3.85546875" style="145" bestFit="1" customWidth="1"/>
    <col min="6141" max="6141" width="4.140625" style="145" bestFit="1" customWidth="1"/>
    <col min="6142" max="6142" width="52.7109375" style="145" customWidth="1"/>
    <col min="6143" max="6144" width="13.85546875" style="145" customWidth="1"/>
    <col min="6145" max="6149" width="0" style="145" hidden="1" customWidth="1"/>
    <col min="6150" max="6150" width="16" style="145" customWidth="1"/>
    <col min="6151" max="6151" width="13.7109375" style="145" customWidth="1"/>
    <col min="6152" max="6152" width="13" style="145" customWidth="1"/>
    <col min="6153" max="6395" width="9.140625" style="145"/>
    <col min="6396" max="6396" width="3.85546875" style="145" bestFit="1" customWidth="1"/>
    <col min="6397" max="6397" width="4.140625" style="145" bestFit="1" customWidth="1"/>
    <col min="6398" max="6398" width="52.7109375" style="145" customWidth="1"/>
    <col min="6399" max="6400" width="13.85546875" style="145" customWidth="1"/>
    <col min="6401" max="6405" width="0" style="145" hidden="1" customWidth="1"/>
    <col min="6406" max="6406" width="16" style="145" customWidth="1"/>
    <col min="6407" max="6407" width="13.7109375" style="145" customWidth="1"/>
    <col min="6408" max="6408" width="13" style="145" customWidth="1"/>
    <col min="6409" max="6651" width="9.140625" style="145"/>
    <col min="6652" max="6652" width="3.85546875" style="145" bestFit="1" customWidth="1"/>
    <col min="6653" max="6653" width="4.140625" style="145" bestFit="1" customWidth="1"/>
    <col min="6654" max="6654" width="52.7109375" style="145" customWidth="1"/>
    <col min="6655" max="6656" width="13.85546875" style="145" customWidth="1"/>
    <col min="6657" max="6661" width="0" style="145" hidden="1" customWidth="1"/>
    <col min="6662" max="6662" width="16" style="145" customWidth="1"/>
    <col min="6663" max="6663" width="13.7109375" style="145" customWidth="1"/>
    <col min="6664" max="6664" width="13" style="145" customWidth="1"/>
    <col min="6665" max="6907" width="9.140625" style="145"/>
    <col min="6908" max="6908" width="3.85546875" style="145" bestFit="1" customWidth="1"/>
    <col min="6909" max="6909" width="4.140625" style="145" bestFit="1" customWidth="1"/>
    <col min="6910" max="6910" width="52.7109375" style="145" customWidth="1"/>
    <col min="6911" max="6912" width="13.85546875" style="145" customWidth="1"/>
    <col min="6913" max="6917" width="0" style="145" hidden="1" customWidth="1"/>
    <col min="6918" max="6918" width="16" style="145" customWidth="1"/>
    <col min="6919" max="6919" width="13.7109375" style="145" customWidth="1"/>
    <col min="6920" max="6920" width="13" style="145" customWidth="1"/>
    <col min="6921" max="7163" width="9.140625" style="145"/>
    <col min="7164" max="7164" width="3.85546875" style="145" bestFit="1" customWidth="1"/>
    <col min="7165" max="7165" width="4.140625" style="145" bestFit="1" customWidth="1"/>
    <col min="7166" max="7166" width="52.7109375" style="145" customWidth="1"/>
    <col min="7167" max="7168" width="13.85546875" style="145" customWidth="1"/>
    <col min="7169" max="7173" width="0" style="145" hidden="1" customWidth="1"/>
    <col min="7174" max="7174" width="16" style="145" customWidth="1"/>
    <col min="7175" max="7175" width="13.7109375" style="145" customWidth="1"/>
    <col min="7176" max="7176" width="13" style="145" customWidth="1"/>
    <col min="7177" max="7419" width="9.140625" style="145"/>
    <col min="7420" max="7420" width="3.85546875" style="145" bestFit="1" customWidth="1"/>
    <col min="7421" max="7421" width="4.140625" style="145" bestFit="1" customWidth="1"/>
    <col min="7422" max="7422" width="52.7109375" style="145" customWidth="1"/>
    <col min="7423" max="7424" width="13.85546875" style="145" customWidth="1"/>
    <col min="7425" max="7429" width="0" style="145" hidden="1" customWidth="1"/>
    <col min="7430" max="7430" width="16" style="145" customWidth="1"/>
    <col min="7431" max="7431" width="13.7109375" style="145" customWidth="1"/>
    <col min="7432" max="7432" width="13" style="145" customWidth="1"/>
    <col min="7433" max="7675" width="9.140625" style="145"/>
    <col min="7676" max="7676" width="3.85546875" style="145" bestFit="1" customWidth="1"/>
    <col min="7677" max="7677" width="4.140625" style="145" bestFit="1" customWidth="1"/>
    <col min="7678" max="7678" width="52.7109375" style="145" customWidth="1"/>
    <col min="7679" max="7680" width="13.85546875" style="145" customWidth="1"/>
    <col min="7681" max="7685" width="0" style="145" hidden="1" customWidth="1"/>
    <col min="7686" max="7686" width="16" style="145" customWidth="1"/>
    <col min="7687" max="7687" width="13.7109375" style="145" customWidth="1"/>
    <col min="7688" max="7688" width="13" style="145" customWidth="1"/>
    <col min="7689" max="7931" width="9.140625" style="145"/>
    <col min="7932" max="7932" width="3.85546875" style="145" bestFit="1" customWidth="1"/>
    <col min="7933" max="7933" width="4.140625" style="145" bestFit="1" customWidth="1"/>
    <col min="7934" max="7934" width="52.7109375" style="145" customWidth="1"/>
    <col min="7935" max="7936" width="13.85546875" style="145" customWidth="1"/>
    <col min="7937" max="7941" width="0" style="145" hidden="1" customWidth="1"/>
    <col min="7942" max="7942" width="16" style="145" customWidth="1"/>
    <col min="7943" max="7943" width="13.7109375" style="145" customWidth="1"/>
    <col min="7944" max="7944" width="13" style="145" customWidth="1"/>
    <col min="7945" max="8187" width="9.140625" style="145"/>
    <col min="8188" max="8188" width="3.85546875" style="145" bestFit="1" customWidth="1"/>
    <col min="8189" max="8189" width="4.140625" style="145" bestFit="1" customWidth="1"/>
    <col min="8190" max="8190" width="52.7109375" style="145" customWidth="1"/>
    <col min="8191" max="8192" width="13.85546875" style="145" customWidth="1"/>
    <col min="8193" max="8197" width="0" style="145" hidden="1" customWidth="1"/>
    <col min="8198" max="8198" width="16" style="145" customWidth="1"/>
    <col min="8199" max="8199" width="13.7109375" style="145" customWidth="1"/>
    <col min="8200" max="8200" width="13" style="145" customWidth="1"/>
    <col min="8201" max="8443" width="9.140625" style="145"/>
    <col min="8444" max="8444" width="3.85546875" style="145" bestFit="1" customWidth="1"/>
    <col min="8445" max="8445" width="4.140625" style="145" bestFit="1" customWidth="1"/>
    <col min="8446" max="8446" width="52.7109375" style="145" customWidth="1"/>
    <col min="8447" max="8448" width="13.85546875" style="145" customWidth="1"/>
    <col min="8449" max="8453" width="0" style="145" hidden="1" customWidth="1"/>
    <col min="8454" max="8454" width="16" style="145" customWidth="1"/>
    <col min="8455" max="8455" width="13.7109375" style="145" customWidth="1"/>
    <col min="8456" max="8456" width="13" style="145" customWidth="1"/>
    <col min="8457" max="8699" width="9.140625" style="145"/>
    <col min="8700" max="8700" width="3.85546875" style="145" bestFit="1" customWidth="1"/>
    <col min="8701" max="8701" width="4.140625" style="145" bestFit="1" customWidth="1"/>
    <col min="8702" max="8702" width="52.7109375" style="145" customWidth="1"/>
    <col min="8703" max="8704" width="13.85546875" style="145" customWidth="1"/>
    <col min="8705" max="8709" width="0" style="145" hidden="1" customWidth="1"/>
    <col min="8710" max="8710" width="16" style="145" customWidth="1"/>
    <col min="8711" max="8711" width="13.7109375" style="145" customWidth="1"/>
    <col min="8712" max="8712" width="13" style="145" customWidth="1"/>
    <col min="8713" max="8955" width="9.140625" style="145"/>
    <col min="8956" max="8956" width="3.85546875" style="145" bestFit="1" customWidth="1"/>
    <col min="8957" max="8957" width="4.140625" style="145" bestFit="1" customWidth="1"/>
    <col min="8958" max="8958" width="52.7109375" style="145" customWidth="1"/>
    <col min="8959" max="8960" width="13.85546875" style="145" customWidth="1"/>
    <col min="8961" max="8965" width="0" style="145" hidden="1" customWidth="1"/>
    <col min="8966" max="8966" width="16" style="145" customWidth="1"/>
    <col min="8967" max="8967" width="13.7109375" style="145" customWidth="1"/>
    <col min="8968" max="8968" width="13" style="145" customWidth="1"/>
    <col min="8969" max="9211" width="9.140625" style="145"/>
    <col min="9212" max="9212" width="3.85546875" style="145" bestFit="1" customWidth="1"/>
    <col min="9213" max="9213" width="4.140625" style="145" bestFit="1" customWidth="1"/>
    <col min="9214" max="9214" width="52.7109375" style="145" customWidth="1"/>
    <col min="9215" max="9216" width="13.85546875" style="145" customWidth="1"/>
    <col min="9217" max="9221" width="0" style="145" hidden="1" customWidth="1"/>
    <col min="9222" max="9222" width="16" style="145" customWidth="1"/>
    <col min="9223" max="9223" width="13.7109375" style="145" customWidth="1"/>
    <col min="9224" max="9224" width="13" style="145" customWidth="1"/>
    <col min="9225" max="9467" width="9.140625" style="145"/>
    <col min="9468" max="9468" width="3.85546875" style="145" bestFit="1" customWidth="1"/>
    <col min="9469" max="9469" width="4.140625" style="145" bestFit="1" customWidth="1"/>
    <col min="9470" max="9470" width="52.7109375" style="145" customWidth="1"/>
    <col min="9471" max="9472" width="13.85546875" style="145" customWidth="1"/>
    <col min="9473" max="9477" width="0" style="145" hidden="1" customWidth="1"/>
    <col min="9478" max="9478" width="16" style="145" customWidth="1"/>
    <col min="9479" max="9479" width="13.7109375" style="145" customWidth="1"/>
    <col min="9480" max="9480" width="13" style="145" customWidth="1"/>
    <col min="9481" max="9723" width="9.140625" style="145"/>
    <col min="9724" max="9724" width="3.85546875" style="145" bestFit="1" customWidth="1"/>
    <col min="9725" max="9725" width="4.140625" style="145" bestFit="1" customWidth="1"/>
    <col min="9726" max="9726" width="52.7109375" style="145" customWidth="1"/>
    <col min="9727" max="9728" width="13.85546875" style="145" customWidth="1"/>
    <col min="9729" max="9733" width="0" style="145" hidden="1" customWidth="1"/>
    <col min="9734" max="9734" width="16" style="145" customWidth="1"/>
    <col min="9735" max="9735" width="13.7109375" style="145" customWidth="1"/>
    <col min="9736" max="9736" width="13" style="145" customWidth="1"/>
    <col min="9737" max="9979" width="9.140625" style="145"/>
    <col min="9980" max="9980" width="3.85546875" style="145" bestFit="1" customWidth="1"/>
    <col min="9981" max="9981" width="4.140625" style="145" bestFit="1" customWidth="1"/>
    <col min="9982" max="9982" width="52.7109375" style="145" customWidth="1"/>
    <col min="9983" max="9984" width="13.85546875" style="145" customWidth="1"/>
    <col min="9985" max="9989" width="0" style="145" hidden="1" customWidth="1"/>
    <col min="9990" max="9990" width="16" style="145" customWidth="1"/>
    <col min="9991" max="9991" width="13.7109375" style="145" customWidth="1"/>
    <col min="9992" max="9992" width="13" style="145" customWidth="1"/>
    <col min="9993" max="10235" width="9.140625" style="145"/>
    <col min="10236" max="10236" width="3.85546875" style="145" bestFit="1" customWidth="1"/>
    <col min="10237" max="10237" width="4.140625" style="145" bestFit="1" customWidth="1"/>
    <col min="10238" max="10238" width="52.7109375" style="145" customWidth="1"/>
    <col min="10239" max="10240" width="13.85546875" style="145" customWidth="1"/>
    <col min="10241" max="10245" width="0" style="145" hidden="1" customWidth="1"/>
    <col min="10246" max="10246" width="16" style="145" customWidth="1"/>
    <col min="10247" max="10247" width="13.7109375" style="145" customWidth="1"/>
    <col min="10248" max="10248" width="13" style="145" customWidth="1"/>
    <col min="10249" max="10491" width="9.140625" style="145"/>
    <col min="10492" max="10492" width="3.85546875" style="145" bestFit="1" customWidth="1"/>
    <col min="10493" max="10493" width="4.140625" style="145" bestFit="1" customWidth="1"/>
    <col min="10494" max="10494" width="52.7109375" style="145" customWidth="1"/>
    <col min="10495" max="10496" width="13.85546875" style="145" customWidth="1"/>
    <col min="10497" max="10501" width="0" style="145" hidden="1" customWidth="1"/>
    <col min="10502" max="10502" width="16" style="145" customWidth="1"/>
    <col min="10503" max="10503" width="13.7109375" style="145" customWidth="1"/>
    <col min="10504" max="10504" width="13" style="145" customWidth="1"/>
    <col min="10505" max="10747" width="9.140625" style="145"/>
    <col min="10748" max="10748" width="3.85546875" style="145" bestFit="1" customWidth="1"/>
    <col min="10749" max="10749" width="4.140625" style="145" bestFit="1" customWidth="1"/>
    <col min="10750" max="10750" width="52.7109375" style="145" customWidth="1"/>
    <col min="10751" max="10752" width="13.85546875" style="145" customWidth="1"/>
    <col min="10753" max="10757" width="0" style="145" hidden="1" customWidth="1"/>
    <col min="10758" max="10758" width="16" style="145" customWidth="1"/>
    <col min="10759" max="10759" width="13.7109375" style="145" customWidth="1"/>
    <col min="10760" max="10760" width="13" style="145" customWidth="1"/>
    <col min="10761" max="11003" width="9.140625" style="145"/>
    <col min="11004" max="11004" width="3.85546875" style="145" bestFit="1" customWidth="1"/>
    <col min="11005" max="11005" width="4.140625" style="145" bestFit="1" customWidth="1"/>
    <col min="11006" max="11006" width="52.7109375" style="145" customWidth="1"/>
    <col min="11007" max="11008" width="13.85546875" style="145" customWidth="1"/>
    <col min="11009" max="11013" width="0" style="145" hidden="1" customWidth="1"/>
    <col min="11014" max="11014" width="16" style="145" customWidth="1"/>
    <col min="11015" max="11015" width="13.7109375" style="145" customWidth="1"/>
    <col min="11016" max="11016" width="13" style="145" customWidth="1"/>
    <col min="11017" max="11259" width="9.140625" style="145"/>
    <col min="11260" max="11260" width="3.85546875" style="145" bestFit="1" customWidth="1"/>
    <col min="11261" max="11261" width="4.140625" style="145" bestFit="1" customWidth="1"/>
    <col min="11262" max="11262" width="52.7109375" style="145" customWidth="1"/>
    <col min="11263" max="11264" width="13.85546875" style="145" customWidth="1"/>
    <col min="11265" max="11269" width="0" style="145" hidden="1" customWidth="1"/>
    <col min="11270" max="11270" width="16" style="145" customWidth="1"/>
    <col min="11271" max="11271" width="13.7109375" style="145" customWidth="1"/>
    <col min="11272" max="11272" width="13" style="145" customWidth="1"/>
    <col min="11273" max="11515" width="9.140625" style="145"/>
    <col min="11516" max="11516" width="3.85546875" style="145" bestFit="1" customWidth="1"/>
    <col min="11517" max="11517" width="4.140625" style="145" bestFit="1" customWidth="1"/>
    <col min="11518" max="11518" width="52.7109375" style="145" customWidth="1"/>
    <col min="11519" max="11520" width="13.85546875" style="145" customWidth="1"/>
    <col min="11521" max="11525" width="0" style="145" hidden="1" customWidth="1"/>
    <col min="11526" max="11526" width="16" style="145" customWidth="1"/>
    <col min="11527" max="11527" width="13.7109375" style="145" customWidth="1"/>
    <col min="11528" max="11528" width="13" style="145" customWidth="1"/>
    <col min="11529" max="11771" width="9.140625" style="145"/>
    <col min="11772" max="11772" width="3.85546875" style="145" bestFit="1" customWidth="1"/>
    <col min="11773" max="11773" width="4.140625" style="145" bestFit="1" customWidth="1"/>
    <col min="11774" max="11774" width="52.7109375" style="145" customWidth="1"/>
    <col min="11775" max="11776" width="13.85546875" style="145" customWidth="1"/>
    <col min="11777" max="11781" width="0" style="145" hidden="1" customWidth="1"/>
    <col min="11782" max="11782" width="16" style="145" customWidth="1"/>
    <col min="11783" max="11783" width="13.7109375" style="145" customWidth="1"/>
    <col min="11784" max="11784" width="13" style="145" customWidth="1"/>
    <col min="11785" max="12027" width="9.140625" style="145"/>
    <col min="12028" max="12028" width="3.85546875" style="145" bestFit="1" customWidth="1"/>
    <col min="12029" max="12029" width="4.140625" style="145" bestFit="1" customWidth="1"/>
    <col min="12030" max="12030" width="52.7109375" style="145" customWidth="1"/>
    <col min="12031" max="12032" width="13.85546875" style="145" customWidth="1"/>
    <col min="12033" max="12037" width="0" style="145" hidden="1" customWidth="1"/>
    <col min="12038" max="12038" width="16" style="145" customWidth="1"/>
    <col min="12039" max="12039" width="13.7109375" style="145" customWidth="1"/>
    <col min="12040" max="12040" width="13" style="145" customWidth="1"/>
    <col min="12041" max="12283" width="9.140625" style="145"/>
    <col min="12284" max="12284" width="3.85546875" style="145" bestFit="1" customWidth="1"/>
    <col min="12285" max="12285" width="4.140625" style="145" bestFit="1" customWidth="1"/>
    <col min="12286" max="12286" width="52.7109375" style="145" customWidth="1"/>
    <col min="12287" max="12288" width="13.85546875" style="145" customWidth="1"/>
    <col min="12289" max="12293" width="0" style="145" hidden="1" customWidth="1"/>
    <col min="12294" max="12294" width="16" style="145" customWidth="1"/>
    <col min="12295" max="12295" width="13.7109375" style="145" customWidth="1"/>
    <col min="12296" max="12296" width="13" style="145" customWidth="1"/>
    <col min="12297" max="12539" width="9.140625" style="145"/>
    <col min="12540" max="12540" width="3.85546875" style="145" bestFit="1" customWidth="1"/>
    <col min="12541" max="12541" width="4.140625" style="145" bestFit="1" customWidth="1"/>
    <col min="12542" max="12542" width="52.7109375" style="145" customWidth="1"/>
    <col min="12543" max="12544" width="13.85546875" style="145" customWidth="1"/>
    <col min="12545" max="12549" width="0" style="145" hidden="1" customWidth="1"/>
    <col min="12550" max="12550" width="16" style="145" customWidth="1"/>
    <col min="12551" max="12551" width="13.7109375" style="145" customWidth="1"/>
    <col min="12552" max="12552" width="13" style="145" customWidth="1"/>
    <col min="12553" max="12795" width="9.140625" style="145"/>
    <col min="12796" max="12796" width="3.85546875" style="145" bestFit="1" customWidth="1"/>
    <col min="12797" max="12797" width="4.140625" style="145" bestFit="1" customWidth="1"/>
    <col min="12798" max="12798" width="52.7109375" style="145" customWidth="1"/>
    <col min="12799" max="12800" width="13.85546875" style="145" customWidth="1"/>
    <col min="12801" max="12805" width="0" style="145" hidden="1" customWidth="1"/>
    <col min="12806" max="12806" width="16" style="145" customWidth="1"/>
    <col min="12807" max="12807" width="13.7109375" style="145" customWidth="1"/>
    <col min="12808" max="12808" width="13" style="145" customWidth="1"/>
    <col min="12809" max="13051" width="9.140625" style="145"/>
    <col min="13052" max="13052" width="3.85546875" style="145" bestFit="1" customWidth="1"/>
    <col min="13053" max="13053" width="4.140625" style="145" bestFit="1" customWidth="1"/>
    <col min="13054" max="13054" width="52.7109375" style="145" customWidth="1"/>
    <col min="13055" max="13056" width="13.85546875" style="145" customWidth="1"/>
    <col min="13057" max="13061" width="0" style="145" hidden="1" customWidth="1"/>
    <col min="13062" max="13062" width="16" style="145" customWidth="1"/>
    <col min="13063" max="13063" width="13.7109375" style="145" customWidth="1"/>
    <col min="13064" max="13064" width="13" style="145" customWidth="1"/>
    <col min="13065" max="13307" width="9.140625" style="145"/>
    <col min="13308" max="13308" width="3.85546875" style="145" bestFit="1" customWidth="1"/>
    <col min="13309" max="13309" width="4.140625" style="145" bestFit="1" customWidth="1"/>
    <col min="13310" max="13310" width="52.7109375" style="145" customWidth="1"/>
    <col min="13311" max="13312" width="13.85546875" style="145" customWidth="1"/>
    <col min="13313" max="13317" width="0" style="145" hidden="1" customWidth="1"/>
    <col min="13318" max="13318" width="16" style="145" customWidth="1"/>
    <col min="13319" max="13319" width="13.7109375" style="145" customWidth="1"/>
    <col min="13320" max="13320" width="13" style="145" customWidth="1"/>
    <col min="13321" max="13563" width="9.140625" style="145"/>
    <col min="13564" max="13564" width="3.85546875" style="145" bestFit="1" customWidth="1"/>
    <col min="13565" max="13565" width="4.140625" style="145" bestFit="1" customWidth="1"/>
    <col min="13566" max="13566" width="52.7109375" style="145" customWidth="1"/>
    <col min="13567" max="13568" width="13.85546875" style="145" customWidth="1"/>
    <col min="13569" max="13573" width="0" style="145" hidden="1" customWidth="1"/>
    <col min="13574" max="13574" width="16" style="145" customWidth="1"/>
    <col min="13575" max="13575" width="13.7109375" style="145" customWidth="1"/>
    <col min="13576" max="13576" width="13" style="145" customWidth="1"/>
    <col min="13577" max="13819" width="9.140625" style="145"/>
    <col min="13820" max="13820" width="3.85546875" style="145" bestFit="1" customWidth="1"/>
    <col min="13821" max="13821" width="4.140625" style="145" bestFit="1" customWidth="1"/>
    <col min="13822" max="13822" width="52.7109375" style="145" customWidth="1"/>
    <col min="13823" max="13824" width="13.85546875" style="145" customWidth="1"/>
    <col min="13825" max="13829" width="0" style="145" hidden="1" customWidth="1"/>
    <col min="13830" max="13830" width="16" style="145" customWidth="1"/>
    <col min="13831" max="13831" width="13.7109375" style="145" customWidth="1"/>
    <col min="13832" max="13832" width="13" style="145" customWidth="1"/>
    <col min="13833" max="14075" width="9.140625" style="145"/>
    <col min="14076" max="14076" width="3.85546875" style="145" bestFit="1" customWidth="1"/>
    <col min="14077" max="14077" width="4.140625" style="145" bestFit="1" customWidth="1"/>
    <col min="14078" max="14078" width="52.7109375" style="145" customWidth="1"/>
    <col min="14079" max="14080" width="13.85546875" style="145" customWidth="1"/>
    <col min="14081" max="14085" width="0" style="145" hidden="1" customWidth="1"/>
    <col min="14086" max="14086" width="16" style="145" customWidth="1"/>
    <col min="14087" max="14087" width="13.7109375" style="145" customWidth="1"/>
    <col min="14088" max="14088" width="13" style="145" customWidth="1"/>
    <col min="14089" max="14331" width="9.140625" style="145"/>
    <col min="14332" max="14332" width="3.85546875" style="145" bestFit="1" customWidth="1"/>
    <col min="14333" max="14333" width="4.140625" style="145" bestFit="1" customWidth="1"/>
    <col min="14334" max="14334" width="52.7109375" style="145" customWidth="1"/>
    <col min="14335" max="14336" width="13.85546875" style="145" customWidth="1"/>
    <col min="14337" max="14341" width="0" style="145" hidden="1" customWidth="1"/>
    <col min="14342" max="14342" width="16" style="145" customWidth="1"/>
    <col min="14343" max="14343" width="13.7109375" style="145" customWidth="1"/>
    <col min="14344" max="14344" width="13" style="145" customWidth="1"/>
    <col min="14345" max="14587" width="9.140625" style="145"/>
    <col min="14588" max="14588" width="3.85546875" style="145" bestFit="1" customWidth="1"/>
    <col min="14589" max="14589" width="4.140625" style="145" bestFit="1" customWidth="1"/>
    <col min="14590" max="14590" width="52.7109375" style="145" customWidth="1"/>
    <col min="14591" max="14592" width="13.85546875" style="145" customWidth="1"/>
    <col min="14593" max="14597" width="0" style="145" hidden="1" customWidth="1"/>
    <col min="14598" max="14598" width="16" style="145" customWidth="1"/>
    <col min="14599" max="14599" width="13.7109375" style="145" customWidth="1"/>
    <col min="14600" max="14600" width="13" style="145" customWidth="1"/>
    <col min="14601" max="14843" width="9.140625" style="145"/>
    <col min="14844" max="14844" width="3.85546875" style="145" bestFit="1" customWidth="1"/>
    <col min="14845" max="14845" width="4.140625" style="145" bestFit="1" customWidth="1"/>
    <col min="14846" max="14846" width="52.7109375" style="145" customWidth="1"/>
    <col min="14847" max="14848" width="13.85546875" style="145" customWidth="1"/>
    <col min="14849" max="14853" width="0" style="145" hidden="1" customWidth="1"/>
    <col min="14854" max="14854" width="16" style="145" customWidth="1"/>
    <col min="14855" max="14855" width="13.7109375" style="145" customWidth="1"/>
    <col min="14856" max="14856" width="13" style="145" customWidth="1"/>
    <col min="14857" max="15099" width="9.140625" style="145"/>
    <col min="15100" max="15100" width="3.85546875" style="145" bestFit="1" customWidth="1"/>
    <col min="15101" max="15101" width="4.140625" style="145" bestFit="1" customWidth="1"/>
    <col min="15102" max="15102" width="52.7109375" style="145" customWidth="1"/>
    <col min="15103" max="15104" width="13.85546875" style="145" customWidth="1"/>
    <col min="15105" max="15109" width="0" style="145" hidden="1" customWidth="1"/>
    <col min="15110" max="15110" width="16" style="145" customWidth="1"/>
    <col min="15111" max="15111" width="13.7109375" style="145" customWidth="1"/>
    <col min="15112" max="15112" width="13" style="145" customWidth="1"/>
    <col min="15113" max="15355" width="9.140625" style="145"/>
    <col min="15356" max="15356" width="3.85546875" style="145" bestFit="1" customWidth="1"/>
    <col min="15357" max="15357" width="4.140625" style="145" bestFit="1" customWidth="1"/>
    <col min="15358" max="15358" width="52.7109375" style="145" customWidth="1"/>
    <col min="15359" max="15360" width="13.85546875" style="145" customWidth="1"/>
    <col min="15361" max="15365" width="0" style="145" hidden="1" customWidth="1"/>
    <col min="15366" max="15366" width="16" style="145" customWidth="1"/>
    <col min="15367" max="15367" width="13.7109375" style="145" customWidth="1"/>
    <col min="15368" max="15368" width="13" style="145" customWidth="1"/>
    <col min="15369" max="15611" width="9.140625" style="145"/>
    <col min="15612" max="15612" width="3.85546875" style="145" bestFit="1" customWidth="1"/>
    <col min="15613" max="15613" width="4.140625" style="145" bestFit="1" customWidth="1"/>
    <col min="15614" max="15614" width="52.7109375" style="145" customWidth="1"/>
    <col min="15615" max="15616" width="13.85546875" style="145" customWidth="1"/>
    <col min="15617" max="15621" width="0" style="145" hidden="1" customWidth="1"/>
    <col min="15622" max="15622" width="16" style="145" customWidth="1"/>
    <col min="15623" max="15623" width="13.7109375" style="145" customWidth="1"/>
    <col min="15624" max="15624" width="13" style="145" customWidth="1"/>
    <col min="15625" max="15867" width="9.140625" style="145"/>
    <col min="15868" max="15868" width="3.85546875" style="145" bestFit="1" customWidth="1"/>
    <col min="15869" max="15869" width="4.140625" style="145" bestFit="1" customWidth="1"/>
    <col min="15870" max="15870" width="52.7109375" style="145" customWidth="1"/>
    <col min="15871" max="15872" width="13.85546875" style="145" customWidth="1"/>
    <col min="15873" max="15877" width="0" style="145" hidden="1" customWidth="1"/>
    <col min="15878" max="15878" width="16" style="145" customWidth="1"/>
    <col min="15879" max="15879" width="13.7109375" style="145" customWidth="1"/>
    <col min="15880" max="15880" width="13" style="145" customWidth="1"/>
    <col min="15881" max="16123" width="9.140625" style="145"/>
    <col min="16124" max="16124" width="3.85546875" style="145" bestFit="1" customWidth="1"/>
    <col min="16125" max="16125" width="4.140625" style="145" bestFit="1" customWidth="1"/>
    <col min="16126" max="16126" width="52.7109375" style="145" customWidth="1"/>
    <col min="16127" max="16128" width="13.85546875" style="145" customWidth="1"/>
    <col min="16129" max="16133" width="0" style="145" hidden="1" customWidth="1"/>
    <col min="16134" max="16134" width="16" style="145" customWidth="1"/>
    <col min="16135" max="16135" width="13.7109375" style="145" customWidth="1"/>
    <col min="16136" max="16136" width="13" style="145" customWidth="1"/>
    <col min="16137" max="16384" width="9.140625" style="145"/>
  </cols>
  <sheetData>
    <row r="1" spans="1:15" x14ac:dyDescent="0.2">
      <c r="D1" s="146"/>
      <c r="E1" s="146"/>
      <c r="F1" s="146"/>
      <c r="G1" s="146"/>
      <c r="H1" s="239"/>
      <c r="K1" s="317"/>
      <c r="O1" s="1" t="s">
        <v>1095</v>
      </c>
    </row>
    <row r="2" spans="1:15" x14ac:dyDescent="0.2">
      <c r="D2" s="146"/>
      <c r="E2" s="146"/>
      <c r="F2" s="146"/>
      <c r="G2" s="146"/>
      <c r="H2" s="239"/>
      <c r="K2" s="317"/>
      <c r="O2" s="1" t="s">
        <v>1176</v>
      </c>
    </row>
    <row r="3" spans="1:15" x14ac:dyDescent="0.2">
      <c r="D3" s="146"/>
      <c r="E3" s="146"/>
      <c r="F3" s="146"/>
      <c r="G3" s="146"/>
      <c r="H3" s="239"/>
      <c r="K3" s="317"/>
      <c r="O3" s="239" t="s">
        <v>395</v>
      </c>
    </row>
    <row r="4" spans="1:15" s="240" customFormat="1" x14ac:dyDescent="0.2">
      <c r="D4" s="318"/>
      <c r="E4" s="318"/>
      <c r="O4" s="1" t="s">
        <v>279</v>
      </c>
    </row>
    <row r="5" spans="1:15" s="240" customFormat="1" ht="15" x14ac:dyDescent="0.25">
      <c r="A5" s="286"/>
      <c r="B5" s="286"/>
      <c r="C5" s="586" t="s">
        <v>1096</v>
      </c>
      <c r="D5" s="586"/>
      <c r="E5" s="586"/>
      <c r="F5" s="586"/>
      <c r="G5" s="586"/>
      <c r="H5" s="586"/>
      <c r="I5" s="586"/>
      <c r="J5" s="586"/>
      <c r="K5" s="586"/>
      <c r="L5" s="586"/>
      <c r="M5" s="586"/>
    </row>
    <row r="6" spans="1:15" s="240" customFormat="1" ht="15" x14ac:dyDescent="0.25">
      <c r="A6" s="286"/>
      <c r="B6" s="286"/>
      <c r="C6" s="586" t="s">
        <v>1097</v>
      </c>
      <c r="D6" s="586"/>
      <c r="E6" s="586"/>
      <c r="F6" s="586"/>
      <c r="G6" s="586"/>
      <c r="H6" s="586"/>
      <c r="I6" s="586"/>
      <c r="J6" s="586"/>
      <c r="K6" s="586"/>
      <c r="L6" s="586"/>
      <c r="M6" s="586"/>
    </row>
    <row r="7" spans="1:15" s="240" customFormat="1" ht="15" x14ac:dyDescent="0.25">
      <c r="A7" s="286"/>
      <c r="B7" s="286"/>
      <c r="D7" s="286" t="s">
        <v>1098</v>
      </c>
      <c r="E7" s="286"/>
      <c r="F7" s="286"/>
      <c r="G7" s="286"/>
      <c r="H7" s="286"/>
      <c r="I7" s="286"/>
      <c r="J7" s="286"/>
      <c r="K7" s="286"/>
      <c r="L7" s="286"/>
      <c r="M7" s="286"/>
    </row>
    <row r="8" spans="1:15" s="240" customFormat="1" ht="15.75" x14ac:dyDescent="0.25">
      <c r="A8" s="145"/>
      <c r="B8" s="593"/>
      <c r="C8" s="593"/>
      <c r="D8" s="593"/>
      <c r="E8" s="593"/>
    </row>
    <row r="9" spans="1:15" s="240" customFormat="1" ht="15" x14ac:dyDescent="0.25">
      <c r="A9" s="319" t="s">
        <v>1099</v>
      </c>
      <c r="B9" s="594"/>
      <c r="C9" s="583" t="s">
        <v>1100</v>
      </c>
      <c r="D9" s="321" t="s">
        <v>1053</v>
      </c>
      <c r="E9" s="209" t="s">
        <v>1101</v>
      </c>
      <c r="F9" s="209" t="s">
        <v>1102</v>
      </c>
      <c r="G9" s="322" t="s">
        <v>1103</v>
      </c>
      <c r="H9" s="320" t="s">
        <v>1052</v>
      </c>
      <c r="I9" s="321" t="s">
        <v>1053</v>
      </c>
      <c r="J9" s="209" t="s">
        <v>1101</v>
      </c>
      <c r="K9" s="209"/>
      <c r="L9" s="320" t="s">
        <v>1052</v>
      </c>
      <c r="M9" s="209" t="s">
        <v>1101</v>
      </c>
      <c r="N9" s="209"/>
      <c r="O9" s="320" t="s">
        <v>1052</v>
      </c>
    </row>
    <row r="10" spans="1:15" s="240" customFormat="1" ht="15" x14ac:dyDescent="0.25">
      <c r="A10" s="323"/>
      <c r="B10" s="594"/>
      <c r="C10" s="584"/>
      <c r="D10" s="321" t="s">
        <v>1057</v>
      </c>
      <c r="E10" s="209" t="s">
        <v>1104</v>
      </c>
      <c r="F10" s="209" t="s">
        <v>1105</v>
      </c>
      <c r="G10" s="322" t="s">
        <v>1106</v>
      </c>
      <c r="H10" s="321" t="s">
        <v>1056</v>
      </c>
      <c r="I10" s="321" t="s">
        <v>1057</v>
      </c>
      <c r="J10" s="209" t="s">
        <v>1104</v>
      </c>
      <c r="K10" s="209" t="s">
        <v>1105</v>
      </c>
      <c r="L10" s="320" t="s">
        <v>1056</v>
      </c>
      <c r="M10" s="209" t="s">
        <v>1104</v>
      </c>
      <c r="N10" s="209" t="s">
        <v>1105</v>
      </c>
      <c r="O10" s="320" t="s">
        <v>1107</v>
      </c>
    </row>
    <row r="11" spans="1:15" s="240" customFormat="1" ht="15" x14ac:dyDescent="0.25">
      <c r="A11" s="323" t="s">
        <v>1108</v>
      </c>
      <c r="B11" s="594"/>
      <c r="C11" s="584"/>
      <c r="D11" s="321" t="s">
        <v>1062</v>
      </c>
      <c r="E11" s="209" t="s">
        <v>1109</v>
      </c>
      <c r="F11" s="209" t="s">
        <v>1110</v>
      </c>
      <c r="G11" s="322" t="s">
        <v>1111</v>
      </c>
      <c r="H11" s="321" t="s">
        <v>1058</v>
      </c>
      <c r="I11" s="321" t="s">
        <v>1064</v>
      </c>
      <c r="J11" s="209" t="s">
        <v>1109</v>
      </c>
      <c r="K11" s="209" t="s">
        <v>1110</v>
      </c>
      <c r="L11" s="320" t="s">
        <v>1112</v>
      </c>
      <c r="M11" s="209" t="s">
        <v>1109</v>
      </c>
      <c r="N11" s="209" t="s">
        <v>1110</v>
      </c>
      <c r="O11" s="320" t="s">
        <v>1113</v>
      </c>
    </row>
    <row r="12" spans="1:15" s="240" customFormat="1" ht="15.6" customHeight="1" x14ac:dyDescent="0.2">
      <c r="A12" s="324"/>
      <c r="B12" s="594"/>
      <c r="C12" s="585"/>
      <c r="D12" s="250"/>
      <c r="E12" s="209" t="s">
        <v>1114</v>
      </c>
      <c r="F12" s="209"/>
      <c r="G12" s="325" t="s">
        <v>1115</v>
      </c>
      <c r="H12" s="252" t="s">
        <v>1116</v>
      </c>
      <c r="I12" s="320"/>
      <c r="J12" s="209" t="s">
        <v>1114</v>
      </c>
      <c r="K12" s="209"/>
      <c r="L12" s="320" t="s">
        <v>1117</v>
      </c>
      <c r="M12" s="209" t="s">
        <v>1118</v>
      </c>
      <c r="N12" s="209"/>
      <c r="O12" s="320" t="s">
        <v>1117</v>
      </c>
    </row>
    <row r="13" spans="1:15" s="240" customFormat="1" x14ac:dyDescent="0.2">
      <c r="A13" s="326">
        <v>1</v>
      </c>
      <c r="B13" s="326">
        <v>2</v>
      </c>
      <c r="C13" s="327">
        <v>3</v>
      </c>
      <c r="D13" s="327">
        <v>4</v>
      </c>
      <c r="E13" s="297">
        <v>5</v>
      </c>
      <c r="F13" s="297">
        <v>6</v>
      </c>
      <c r="G13" s="231">
        <v>7</v>
      </c>
      <c r="H13" s="327" t="s">
        <v>1119</v>
      </c>
      <c r="I13" s="209">
        <v>9</v>
      </c>
      <c r="J13" s="209">
        <v>10</v>
      </c>
      <c r="K13" s="209">
        <v>11</v>
      </c>
      <c r="L13" s="209" t="s">
        <v>1120</v>
      </c>
      <c r="M13" s="209">
        <v>13</v>
      </c>
      <c r="N13" s="209">
        <v>14</v>
      </c>
      <c r="O13" s="209" t="s">
        <v>1121</v>
      </c>
    </row>
    <row r="14" spans="1:15" s="240" customFormat="1" x14ac:dyDescent="0.2">
      <c r="A14" s="253" t="s">
        <v>1122</v>
      </c>
      <c r="B14" s="253"/>
      <c r="C14" s="297"/>
      <c r="D14" s="297">
        <f t="shared" ref="D14:L14" si="0">D16+D25+D28</f>
        <v>354</v>
      </c>
      <c r="E14" s="328">
        <f t="shared" si="0"/>
        <v>1767208</v>
      </c>
      <c r="F14" s="328">
        <f t="shared" si="0"/>
        <v>985445</v>
      </c>
      <c r="G14" s="329">
        <f t="shared" si="0"/>
        <v>7280</v>
      </c>
      <c r="H14" s="328">
        <f t="shared" si="0"/>
        <v>2759933</v>
      </c>
      <c r="I14" s="328">
        <f t="shared" si="0"/>
        <v>356</v>
      </c>
      <c r="J14" s="328">
        <f t="shared" si="0"/>
        <v>961849</v>
      </c>
      <c r="K14" s="328">
        <f t="shared" si="0"/>
        <v>476711</v>
      </c>
      <c r="L14" s="328">
        <f t="shared" si="0"/>
        <v>1438560</v>
      </c>
      <c r="M14" s="328">
        <f>E14+J14</f>
        <v>2729057</v>
      </c>
      <c r="N14" s="328">
        <f>F14+K14+G14</f>
        <v>1469436</v>
      </c>
      <c r="O14" s="328">
        <f>M14+N14</f>
        <v>4198493</v>
      </c>
    </row>
    <row r="15" spans="1:15" s="240" customFormat="1" x14ac:dyDescent="0.2">
      <c r="A15" s="330"/>
      <c r="B15" s="331"/>
      <c r="C15" s="332"/>
      <c r="D15" s="332"/>
      <c r="E15" s="333"/>
      <c r="F15" s="333"/>
      <c r="G15" s="230"/>
      <c r="H15" s="334"/>
      <c r="I15" s="334"/>
      <c r="J15" s="333"/>
      <c r="K15" s="333"/>
      <c r="L15" s="334"/>
      <c r="M15" s="333"/>
      <c r="N15" s="333"/>
      <c r="O15" s="334"/>
    </row>
    <row r="16" spans="1:15" s="240" customFormat="1" ht="25.5" x14ac:dyDescent="0.2">
      <c r="A16" s="330">
        <v>1</v>
      </c>
      <c r="B16" s="331"/>
      <c r="C16" s="335" t="s">
        <v>1123</v>
      </c>
      <c r="D16" s="336">
        <f t="shared" ref="D16:G16" si="1">D19+D22</f>
        <v>279</v>
      </c>
      <c r="E16" s="337">
        <f t="shared" si="1"/>
        <v>1435840</v>
      </c>
      <c r="F16" s="337">
        <f t="shared" si="1"/>
        <v>828412</v>
      </c>
      <c r="G16" s="338">
        <f t="shared" si="1"/>
        <v>6575</v>
      </c>
      <c r="H16" s="339">
        <f>H19+H22</f>
        <v>2270827</v>
      </c>
      <c r="I16" s="337">
        <f>I19+I22</f>
        <v>331</v>
      </c>
      <c r="J16" s="337">
        <f>J19+J22</f>
        <v>932457</v>
      </c>
      <c r="K16" s="337">
        <f>K19+K22</f>
        <v>476711</v>
      </c>
      <c r="L16" s="337">
        <f>J16+K16</f>
        <v>1409168</v>
      </c>
      <c r="M16" s="337">
        <f>E16+J16</f>
        <v>2368297</v>
      </c>
      <c r="N16" s="337">
        <f>F16+K16+G16</f>
        <v>1311698</v>
      </c>
      <c r="O16" s="337">
        <f>M16+N16</f>
        <v>3679995</v>
      </c>
    </row>
    <row r="17" spans="1:15" s="240" customFormat="1" x14ac:dyDescent="0.2">
      <c r="A17" s="326"/>
      <c r="B17" s="182"/>
      <c r="C17" s="182"/>
      <c r="D17" s="219"/>
      <c r="E17" s="340"/>
      <c r="F17" s="340"/>
      <c r="G17" s="341"/>
      <c r="H17" s="342"/>
      <c r="I17" s="342"/>
      <c r="J17" s="340"/>
      <c r="K17" s="340"/>
      <c r="L17" s="342"/>
      <c r="M17" s="340"/>
      <c r="N17" s="340"/>
      <c r="O17" s="342"/>
    </row>
    <row r="18" spans="1:15" s="240" customFormat="1" x14ac:dyDescent="0.2">
      <c r="A18" s="343"/>
      <c r="B18" s="223"/>
      <c r="C18" s="332"/>
      <c r="D18" s="344"/>
      <c r="E18" s="333"/>
      <c r="F18" s="333"/>
      <c r="G18" s="230"/>
      <c r="H18" s="345"/>
      <c r="I18" s="345"/>
      <c r="J18" s="333"/>
      <c r="K18" s="333"/>
      <c r="L18" s="345"/>
      <c r="M18" s="333"/>
      <c r="N18" s="333"/>
      <c r="O18" s="345"/>
    </row>
    <row r="19" spans="1:15" s="240" customFormat="1" ht="25.5" x14ac:dyDescent="0.2">
      <c r="A19" s="330"/>
      <c r="B19" s="331" t="s">
        <v>1124</v>
      </c>
      <c r="C19" s="346" t="s">
        <v>1125</v>
      </c>
      <c r="D19" s="347">
        <v>185</v>
      </c>
      <c r="E19" s="348">
        <v>1008200</v>
      </c>
      <c r="F19" s="349">
        <v>545960</v>
      </c>
      <c r="G19" s="350">
        <v>3535</v>
      </c>
      <c r="H19" s="348">
        <f>E19+F19+G19</f>
        <v>1557695</v>
      </c>
      <c r="I19" s="349">
        <f>193+49</f>
        <v>242</v>
      </c>
      <c r="J19" s="350">
        <f>597760-15339+120720</f>
        <v>703141</v>
      </c>
      <c r="K19" s="349">
        <f>281158+63862</f>
        <v>345020</v>
      </c>
      <c r="L19" s="337">
        <f>J19+K19</f>
        <v>1048161</v>
      </c>
      <c r="M19" s="349">
        <f>E19+J19</f>
        <v>1711341</v>
      </c>
      <c r="N19" s="349">
        <f>F19+K19+G19</f>
        <v>894515</v>
      </c>
      <c r="O19" s="351">
        <f>M19+N19</f>
        <v>2605856</v>
      </c>
    </row>
    <row r="20" spans="1:15" s="240" customFormat="1" ht="51" customHeight="1" x14ac:dyDescent="0.2">
      <c r="A20" s="326"/>
      <c r="B20" s="182"/>
      <c r="C20" s="352" t="s">
        <v>1126</v>
      </c>
      <c r="D20" s="353"/>
      <c r="E20" s="354"/>
      <c r="F20" s="355"/>
      <c r="G20" s="356"/>
      <c r="H20" s="354"/>
      <c r="I20" s="357"/>
      <c r="J20" s="355"/>
      <c r="K20" s="355"/>
      <c r="L20" s="357"/>
      <c r="M20" s="358"/>
      <c r="N20" s="358"/>
      <c r="O20" s="354"/>
    </row>
    <row r="21" spans="1:15" s="240" customFormat="1" x14ac:dyDescent="0.2">
      <c r="A21" s="343"/>
      <c r="B21" s="223"/>
      <c r="C21" s="359"/>
      <c r="D21" s="360"/>
      <c r="E21" s="361"/>
      <c r="F21" s="362"/>
      <c r="G21" s="363"/>
      <c r="H21" s="361"/>
      <c r="I21" s="364"/>
      <c r="J21" s="362"/>
      <c r="K21" s="362"/>
      <c r="L21" s="364"/>
      <c r="M21" s="365"/>
      <c r="N21" s="365"/>
      <c r="O21" s="361"/>
    </row>
    <row r="22" spans="1:15" s="240" customFormat="1" ht="25.5" x14ac:dyDescent="0.2">
      <c r="A22" s="330"/>
      <c r="B22" s="331" t="s">
        <v>1124</v>
      </c>
      <c r="C22" s="346" t="s">
        <v>1127</v>
      </c>
      <c r="D22" s="347">
        <v>94</v>
      </c>
      <c r="E22" s="366">
        <v>427640</v>
      </c>
      <c r="F22" s="367">
        <v>282452</v>
      </c>
      <c r="G22" s="368">
        <v>3040</v>
      </c>
      <c r="H22" s="348">
        <f>E22+F22+G22</f>
        <v>713132</v>
      </c>
      <c r="I22" s="349">
        <v>89</v>
      </c>
      <c r="J22" s="367">
        <v>229316</v>
      </c>
      <c r="K22" s="367">
        <v>131691</v>
      </c>
      <c r="L22" s="337">
        <f>J22+K22</f>
        <v>361007</v>
      </c>
      <c r="M22" s="349">
        <f>E22+J22</f>
        <v>656956</v>
      </c>
      <c r="N22" s="349">
        <f>F22+K22+G22</f>
        <v>417183</v>
      </c>
      <c r="O22" s="351">
        <f>M22+N22</f>
        <v>1074139</v>
      </c>
    </row>
    <row r="23" spans="1:15" s="240" customFormat="1" x14ac:dyDescent="0.2">
      <c r="A23" s="326"/>
      <c r="B23" s="182"/>
      <c r="C23" s="369" t="s">
        <v>1128</v>
      </c>
      <c r="D23" s="370"/>
      <c r="E23" s="354"/>
      <c r="F23" s="355"/>
      <c r="G23" s="356"/>
      <c r="H23" s="354"/>
      <c r="I23" s="354"/>
      <c r="J23" s="355"/>
      <c r="K23" s="355"/>
      <c r="L23" s="354"/>
      <c r="M23" s="355"/>
      <c r="N23" s="355"/>
      <c r="O23" s="354"/>
    </row>
    <row r="24" spans="1:15" s="240" customFormat="1" x14ac:dyDescent="0.2">
      <c r="A24" s="343"/>
      <c r="B24" s="223"/>
      <c r="C24" s="332"/>
      <c r="D24" s="344"/>
      <c r="E24" s="345"/>
      <c r="F24" s="333"/>
      <c r="G24" s="230"/>
      <c r="H24" s="345"/>
      <c r="I24" s="345"/>
      <c r="J24" s="333"/>
      <c r="K24" s="333"/>
      <c r="L24" s="345"/>
      <c r="M24" s="333"/>
      <c r="N24" s="333"/>
      <c r="O24" s="345"/>
    </row>
    <row r="25" spans="1:15" s="240" customFormat="1" x14ac:dyDescent="0.2">
      <c r="A25" s="330">
        <v>2</v>
      </c>
      <c r="B25" s="331"/>
      <c r="C25" s="345" t="s">
        <v>1075</v>
      </c>
      <c r="D25" s="371">
        <v>54</v>
      </c>
      <c r="E25" s="337">
        <v>287624</v>
      </c>
      <c r="F25" s="337">
        <v>157033</v>
      </c>
      <c r="G25" s="338">
        <v>705</v>
      </c>
      <c r="H25" s="348">
        <f>E25+F25+G25</f>
        <v>445362</v>
      </c>
      <c r="I25" s="337"/>
      <c r="J25" s="337"/>
      <c r="K25" s="337"/>
      <c r="L25" s="337">
        <f>J25+K25</f>
        <v>0</v>
      </c>
      <c r="M25" s="337">
        <f>E25+J25</f>
        <v>287624</v>
      </c>
      <c r="N25" s="337">
        <f>F25+K25+G25</f>
        <v>157738</v>
      </c>
      <c r="O25" s="337">
        <f>M25+N25</f>
        <v>445362</v>
      </c>
    </row>
    <row r="26" spans="1:15" s="240" customFormat="1" x14ac:dyDescent="0.2">
      <c r="A26" s="326"/>
      <c r="B26" s="182"/>
      <c r="C26" s="182"/>
      <c r="D26" s="219"/>
      <c r="E26" s="340"/>
      <c r="F26" s="340"/>
      <c r="G26" s="341"/>
      <c r="H26" s="342"/>
      <c r="I26" s="342"/>
      <c r="J26" s="340"/>
      <c r="K26" s="340"/>
      <c r="L26" s="342"/>
      <c r="M26" s="340"/>
      <c r="N26" s="340"/>
      <c r="O26" s="342"/>
    </row>
    <row r="27" spans="1:15" s="240" customFormat="1" x14ac:dyDescent="0.2">
      <c r="A27" s="343"/>
      <c r="B27" s="223"/>
      <c r="C27" s="332"/>
      <c r="D27" s="344"/>
      <c r="E27" s="333"/>
      <c r="F27" s="333"/>
      <c r="G27" s="230"/>
      <c r="H27" s="345"/>
      <c r="I27" s="345"/>
      <c r="J27" s="333"/>
      <c r="K27" s="333"/>
      <c r="L27" s="345"/>
      <c r="M27" s="333"/>
      <c r="N27" s="333"/>
      <c r="O27" s="345"/>
    </row>
    <row r="28" spans="1:15" s="240" customFormat="1" ht="25.5" x14ac:dyDescent="0.2">
      <c r="A28" s="330">
        <v>3</v>
      </c>
      <c r="B28" s="331"/>
      <c r="C28" s="335" t="s">
        <v>1129</v>
      </c>
      <c r="D28" s="371">
        <v>21</v>
      </c>
      <c r="E28" s="337">
        <v>43744</v>
      </c>
      <c r="F28" s="337"/>
      <c r="G28" s="338"/>
      <c r="H28" s="372">
        <f>E28+F28</f>
        <v>43744</v>
      </c>
      <c r="I28" s="337">
        <v>25</v>
      </c>
      <c r="J28" s="337">
        <v>29392</v>
      </c>
      <c r="K28" s="337"/>
      <c r="L28" s="337">
        <f>J28+K28</f>
        <v>29392</v>
      </c>
      <c r="M28" s="337">
        <f>E28+J28</f>
        <v>73136</v>
      </c>
      <c r="N28" s="337"/>
      <c r="O28" s="337">
        <f>M28+N28</f>
        <v>73136</v>
      </c>
    </row>
    <row r="29" spans="1:15" s="240" customFormat="1" x14ac:dyDescent="0.2">
      <c r="A29" s="326"/>
      <c r="B29" s="182"/>
      <c r="C29" s="182"/>
      <c r="D29" s="219"/>
      <c r="E29" s="340"/>
      <c r="F29" s="340"/>
      <c r="G29" s="341"/>
      <c r="H29" s="342"/>
      <c r="I29" s="340"/>
      <c r="J29" s="340"/>
      <c r="K29" s="340"/>
      <c r="L29" s="340"/>
      <c r="M29" s="340"/>
      <c r="N29" s="340"/>
      <c r="O29" s="340"/>
    </row>
    <row r="30" spans="1:15" s="240" customFormat="1" ht="12" x14ac:dyDescent="0.2">
      <c r="D30" s="318"/>
      <c r="E30" s="318"/>
    </row>
    <row r="31" spans="1:15" s="240" customFormat="1" ht="12" x14ac:dyDescent="0.2">
      <c r="D31" s="318"/>
      <c r="E31" s="318"/>
    </row>
    <row r="32" spans="1:15" s="240" customFormat="1" ht="12" x14ac:dyDescent="0.2">
      <c r="D32" s="318"/>
      <c r="E32" s="318"/>
    </row>
    <row r="33" spans="4:5" s="240" customFormat="1" ht="12" x14ac:dyDescent="0.2">
      <c r="D33" s="318"/>
      <c r="E33" s="318"/>
    </row>
    <row r="34" spans="4:5" s="240" customFormat="1" ht="12" x14ac:dyDescent="0.2">
      <c r="D34" s="318"/>
      <c r="E34" s="318"/>
    </row>
    <row r="35" spans="4:5" s="240" customFormat="1" ht="12" x14ac:dyDescent="0.2">
      <c r="D35" s="318"/>
      <c r="E35" s="318"/>
    </row>
    <row r="36" spans="4:5" s="240" customFormat="1" ht="12" x14ac:dyDescent="0.2">
      <c r="D36" s="318"/>
      <c r="E36" s="318"/>
    </row>
    <row r="37" spans="4:5" s="240" customFormat="1" ht="12" x14ac:dyDescent="0.2">
      <c r="D37" s="318"/>
      <c r="E37" s="318"/>
    </row>
    <row r="38" spans="4:5" s="240" customFormat="1" ht="12" x14ac:dyDescent="0.2">
      <c r="D38" s="318"/>
      <c r="E38" s="318"/>
    </row>
    <row r="39" spans="4:5" s="240" customFormat="1" ht="12" x14ac:dyDescent="0.2">
      <c r="D39" s="318"/>
      <c r="E39" s="318"/>
    </row>
    <row r="40" spans="4:5" s="240" customFormat="1" ht="12" x14ac:dyDescent="0.2">
      <c r="D40" s="318"/>
      <c r="E40" s="318"/>
    </row>
    <row r="41" spans="4:5" s="240" customFormat="1" ht="12" x14ac:dyDescent="0.2">
      <c r="D41" s="318"/>
      <c r="E41" s="318"/>
    </row>
    <row r="42" spans="4:5" s="240" customFormat="1" ht="12" x14ac:dyDescent="0.2">
      <c r="D42" s="318"/>
      <c r="E42" s="318"/>
    </row>
    <row r="43" spans="4:5" s="240" customFormat="1" ht="12" x14ac:dyDescent="0.2">
      <c r="D43" s="318"/>
      <c r="E43" s="318"/>
    </row>
    <row r="44" spans="4:5" s="240" customFormat="1" ht="12" x14ac:dyDescent="0.2">
      <c r="D44" s="318"/>
      <c r="E44" s="318"/>
    </row>
    <row r="45" spans="4:5" s="240" customFormat="1" ht="12" x14ac:dyDescent="0.2">
      <c r="D45" s="318"/>
      <c r="E45" s="318"/>
    </row>
    <row r="46" spans="4:5" s="240" customFormat="1" ht="12" x14ac:dyDescent="0.2">
      <c r="D46" s="318"/>
      <c r="E46" s="318"/>
    </row>
    <row r="47" spans="4:5" s="240" customFormat="1" ht="12" x14ac:dyDescent="0.2">
      <c r="D47" s="318"/>
      <c r="E47" s="318"/>
    </row>
    <row r="48" spans="4:5" s="240" customFormat="1" ht="12" x14ac:dyDescent="0.2">
      <c r="D48" s="318"/>
      <c r="E48" s="318"/>
    </row>
    <row r="49" spans="4:5" s="240" customFormat="1" ht="12" x14ac:dyDescent="0.2">
      <c r="D49" s="318"/>
      <c r="E49" s="318"/>
    </row>
    <row r="50" spans="4:5" s="240" customFormat="1" ht="12" x14ac:dyDescent="0.2">
      <c r="D50" s="318"/>
      <c r="E50" s="318"/>
    </row>
    <row r="51" spans="4:5" s="240" customFormat="1" ht="12" x14ac:dyDescent="0.2">
      <c r="D51" s="318"/>
      <c r="E51" s="318"/>
    </row>
    <row r="52" spans="4:5" s="240" customFormat="1" ht="12" x14ac:dyDescent="0.2">
      <c r="D52" s="318"/>
      <c r="E52" s="318"/>
    </row>
    <row r="53" spans="4:5" s="240" customFormat="1" ht="12" x14ac:dyDescent="0.2">
      <c r="D53" s="318"/>
      <c r="E53" s="318"/>
    </row>
    <row r="54" spans="4:5" s="240" customFormat="1" ht="12" x14ac:dyDescent="0.2">
      <c r="D54" s="318"/>
      <c r="E54" s="318"/>
    </row>
    <row r="55" spans="4:5" s="240" customFormat="1" ht="12" x14ac:dyDescent="0.2">
      <c r="D55" s="318"/>
      <c r="E55" s="318"/>
    </row>
    <row r="56" spans="4:5" s="240" customFormat="1" ht="12" x14ac:dyDescent="0.2">
      <c r="D56" s="318"/>
      <c r="E56" s="318"/>
    </row>
    <row r="57" spans="4:5" s="240" customFormat="1" ht="12" x14ac:dyDescent="0.2">
      <c r="D57" s="318"/>
      <c r="E57" s="318"/>
    </row>
    <row r="58" spans="4:5" s="240" customFormat="1" ht="12" x14ac:dyDescent="0.2">
      <c r="D58" s="318"/>
      <c r="E58" s="318"/>
    </row>
    <row r="59" spans="4:5" s="240" customFormat="1" ht="12" x14ac:dyDescent="0.2">
      <c r="D59" s="318"/>
      <c r="E59" s="318"/>
    </row>
    <row r="60" spans="4:5" s="240" customFormat="1" ht="12" x14ac:dyDescent="0.2">
      <c r="D60" s="318"/>
      <c r="E60" s="318"/>
    </row>
    <row r="61" spans="4:5" s="240" customFormat="1" ht="12" x14ac:dyDescent="0.2">
      <c r="D61" s="318"/>
      <c r="E61" s="318"/>
    </row>
    <row r="62" spans="4:5" s="240" customFormat="1" ht="12" x14ac:dyDescent="0.2">
      <c r="D62" s="318"/>
      <c r="E62" s="318"/>
    </row>
    <row r="63" spans="4:5" s="240" customFormat="1" ht="12" x14ac:dyDescent="0.2">
      <c r="D63" s="318"/>
      <c r="E63" s="318"/>
    </row>
    <row r="64" spans="4:5" s="240" customFormat="1" ht="12" x14ac:dyDescent="0.2">
      <c r="D64" s="318"/>
      <c r="E64" s="318"/>
    </row>
    <row r="65" spans="4:5" s="240" customFormat="1" ht="12" x14ac:dyDescent="0.2">
      <c r="D65" s="318"/>
      <c r="E65" s="318"/>
    </row>
    <row r="66" spans="4:5" s="240" customFormat="1" ht="12" x14ac:dyDescent="0.2">
      <c r="D66" s="318"/>
      <c r="E66" s="318"/>
    </row>
    <row r="67" spans="4:5" s="240" customFormat="1" ht="12" x14ac:dyDescent="0.2">
      <c r="D67" s="318"/>
      <c r="E67" s="318"/>
    </row>
    <row r="68" spans="4:5" s="240" customFormat="1" ht="12" x14ac:dyDescent="0.2">
      <c r="D68" s="318"/>
      <c r="E68" s="318"/>
    </row>
    <row r="69" spans="4:5" s="240" customFormat="1" ht="12" x14ac:dyDescent="0.2">
      <c r="D69" s="318"/>
      <c r="E69" s="318"/>
    </row>
    <row r="70" spans="4:5" s="240" customFormat="1" ht="12" x14ac:dyDescent="0.2">
      <c r="D70" s="318"/>
      <c r="E70" s="318"/>
    </row>
    <row r="71" spans="4:5" s="240" customFormat="1" ht="12" x14ac:dyDescent="0.2">
      <c r="D71" s="318"/>
      <c r="E71" s="318"/>
    </row>
    <row r="72" spans="4:5" s="240" customFormat="1" ht="12" x14ac:dyDescent="0.2">
      <c r="D72" s="318"/>
      <c r="E72" s="318"/>
    </row>
    <row r="73" spans="4:5" s="240" customFormat="1" ht="12" x14ac:dyDescent="0.2">
      <c r="D73" s="318"/>
      <c r="E73" s="318"/>
    </row>
    <row r="74" spans="4:5" s="240" customFormat="1" ht="12" x14ac:dyDescent="0.2">
      <c r="D74" s="318"/>
      <c r="E74" s="318"/>
    </row>
    <row r="75" spans="4:5" s="240" customFormat="1" ht="12" x14ac:dyDescent="0.2">
      <c r="D75" s="318"/>
      <c r="E75" s="318"/>
    </row>
    <row r="76" spans="4:5" s="240" customFormat="1" ht="12" x14ac:dyDescent="0.2">
      <c r="D76" s="318"/>
      <c r="E76" s="318"/>
    </row>
    <row r="77" spans="4:5" s="240" customFormat="1" ht="12" x14ac:dyDescent="0.2">
      <c r="D77" s="318"/>
      <c r="E77" s="318"/>
    </row>
    <row r="78" spans="4:5" s="240" customFormat="1" ht="12" x14ac:dyDescent="0.2">
      <c r="D78" s="318"/>
      <c r="E78" s="318"/>
    </row>
    <row r="79" spans="4:5" s="240" customFormat="1" ht="12" x14ac:dyDescent="0.2">
      <c r="D79" s="318"/>
      <c r="E79" s="318"/>
    </row>
    <row r="80" spans="4:5" s="240" customFormat="1" ht="12" x14ac:dyDescent="0.2">
      <c r="D80" s="318"/>
      <c r="E80" s="318"/>
    </row>
    <row r="81" spans="4:5" s="240" customFormat="1" ht="12" x14ac:dyDescent="0.2">
      <c r="D81" s="318"/>
      <c r="E81" s="318"/>
    </row>
    <row r="82" spans="4:5" s="240" customFormat="1" ht="12" x14ac:dyDescent="0.2">
      <c r="D82" s="318"/>
      <c r="E82" s="318"/>
    </row>
    <row r="83" spans="4:5" s="240" customFormat="1" ht="12" x14ac:dyDescent="0.2">
      <c r="D83" s="318"/>
      <c r="E83" s="318"/>
    </row>
    <row r="84" spans="4:5" s="240" customFormat="1" ht="12" x14ac:dyDescent="0.2">
      <c r="D84" s="318"/>
      <c r="E84" s="318"/>
    </row>
    <row r="85" spans="4:5" s="240" customFormat="1" ht="12" x14ac:dyDescent="0.2">
      <c r="D85" s="318"/>
      <c r="E85" s="318"/>
    </row>
    <row r="86" spans="4:5" s="240" customFormat="1" ht="12" x14ac:dyDescent="0.2">
      <c r="D86" s="318"/>
      <c r="E86" s="318"/>
    </row>
    <row r="87" spans="4:5" s="240" customFormat="1" ht="12" x14ac:dyDescent="0.2">
      <c r="D87" s="318"/>
      <c r="E87" s="318"/>
    </row>
    <row r="88" spans="4:5" s="240" customFormat="1" ht="12" x14ac:dyDescent="0.2">
      <c r="D88" s="318"/>
      <c r="E88" s="318"/>
    </row>
    <row r="89" spans="4:5" s="240" customFormat="1" ht="12" x14ac:dyDescent="0.2">
      <c r="D89" s="318"/>
      <c r="E89" s="318"/>
    </row>
    <row r="90" spans="4:5" s="240" customFormat="1" ht="12" x14ac:dyDescent="0.2">
      <c r="D90" s="318"/>
      <c r="E90" s="318"/>
    </row>
    <row r="91" spans="4:5" s="240" customFormat="1" ht="12" x14ac:dyDescent="0.2">
      <c r="D91" s="318"/>
      <c r="E91" s="318"/>
    </row>
    <row r="92" spans="4:5" s="240" customFormat="1" ht="12" x14ac:dyDescent="0.2">
      <c r="D92" s="318"/>
      <c r="E92" s="318"/>
    </row>
    <row r="93" spans="4:5" s="240" customFormat="1" ht="12" x14ac:dyDescent="0.2">
      <c r="D93" s="318"/>
      <c r="E93" s="318"/>
    </row>
    <row r="94" spans="4:5" s="240" customFormat="1" ht="12" x14ac:dyDescent="0.2">
      <c r="D94" s="318"/>
      <c r="E94" s="318"/>
    </row>
    <row r="95" spans="4:5" s="240" customFormat="1" ht="12" x14ac:dyDescent="0.2">
      <c r="D95" s="318"/>
      <c r="E95" s="318"/>
    </row>
    <row r="96" spans="4:5" s="240" customFormat="1" ht="12" x14ac:dyDescent="0.2">
      <c r="D96" s="318"/>
      <c r="E96" s="318"/>
    </row>
    <row r="97" spans="4:5" s="240" customFormat="1" ht="12" x14ac:dyDescent="0.2">
      <c r="D97" s="318"/>
      <c r="E97" s="318"/>
    </row>
    <row r="98" spans="4:5" s="240" customFormat="1" ht="12" x14ac:dyDescent="0.2">
      <c r="D98" s="318"/>
      <c r="E98" s="318"/>
    </row>
    <row r="99" spans="4:5" s="240" customFormat="1" ht="12" x14ac:dyDescent="0.2">
      <c r="D99" s="318"/>
      <c r="E99" s="318"/>
    </row>
    <row r="100" spans="4:5" s="240" customFormat="1" ht="12" x14ac:dyDescent="0.2">
      <c r="D100" s="318"/>
      <c r="E100" s="318"/>
    </row>
    <row r="101" spans="4:5" s="240" customFormat="1" ht="12" x14ac:dyDescent="0.2">
      <c r="D101" s="318"/>
      <c r="E101" s="318"/>
    </row>
    <row r="102" spans="4:5" s="240" customFormat="1" ht="12" x14ac:dyDescent="0.2">
      <c r="D102" s="318"/>
      <c r="E102" s="318"/>
    </row>
    <row r="103" spans="4:5" s="240" customFormat="1" ht="12" x14ac:dyDescent="0.2">
      <c r="D103" s="318"/>
      <c r="E103" s="318"/>
    </row>
    <row r="104" spans="4:5" s="240" customFormat="1" ht="12" x14ac:dyDescent="0.2">
      <c r="D104" s="318"/>
      <c r="E104" s="318"/>
    </row>
    <row r="105" spans="4:5" s="240" customFormat="1" ht="12" x14ac:dyDescent="0.2">
      <c r="D105" s="318"/>
      <c r="E105" s="318"/>
    </row>
    <row r="106" spans="4:5" s="240" customFormat="1" ht="12" x14ac:dyDescent="0.2">
      <c r="D106" s="318"/>
      <c r="E106" s="318"/>
    </row>
    <row r="107" spans="4:5" s="240" customFormat="1" ht="12" x14ac:dyDescent="0.2">
      <c r="D107" s="318"/>
      <c r="E107" s="318"/>
    </row>
    <row r="108" spans="4:5" s="240" customFormat="1" ht="12" x14ac:dyDescent="0.2">
      <c r="D108" s="318"/>
      <c r="E108" s="318"/>
    </row>
    <row r="109" spans="4:5" s="240" customFormat="1" ht="12" x14ac:dyDescent="0.2">
      <c r="D109" s="318"/>
      <c r="E109" s="318"/>
    </row>
    <row r="110" spans="4:5" s="240" customFormat="1" ht="12" x14ac:dyDescent="0.2">
      <c r="D110" s="318"/>
      <c r="E110" s="318"/>
    </row>
    <row r="111" spans="4:5" s="240" customFormat="1" ht="12" x14ac:dyDescent="0.2">
      <c r="D111" s="318"/>
      <c r="E111" s="318"/>
    </row>
    <row r="112" spans="4:5" s="240" customFormat="1" ht="12" x14ac:dyDescent="0.2">
      <c r="D112" s="318"/>
      <c r="E112" s="318"/>
    </row>
    <row r="113" spans="4:5" s="240" customFormat="1" ht="12" x14ac:dyDescent="0.2">
      <c r="D113" s="318"/>
      <c r="E113" s="318"/>
    </row>
  </sheetData>
  <mergeCells count="5">
    <mergeCell ref="C5:M5"/>
    <mergeCell ref="C6:M6"/>
    <mergeCell ref="B8:E8"/>
    <mergeCell ref="B9:B12"/>
    <mergeCell ref="C9:C12"/>
  </mergeCells>
  <pageMargins left="0.78740157480314965" right="0.78740157480314965" top="1.1811023622047243" bottom="0.39370078740157483" header="0" footer="0"/>
  <pageSetup paperSize="9" scale="63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049D-D5D0-4D95-AB97-56BFA1C068EF}">
  <sheetPr>
    <pageSetUpPr fitToPage="1"/>
  </sheetPr>
  <dimension ref="A1:H115"/>
  <sheetViews>
    <sheetView workbookViewId="0">
      <pane ySplit="14" topLeftCell="A36" activePane="bottomLeft" state="frozen"/>
      <selection pane="bottomLeft" sqref="A1:G38"/>
    </sheetView>
  </sheetViews>
  <sheetFormatPr defaultRowHeight="15" outlineLevelCol="1" x14ac:dyDescent="0.25"/>
  <cols>
    <col min="1" max="1" width="7" style="145" customWidth="1"/>
    <col min="2" max="2" width="41.140625" customWidth="1"/>
    <col min="3" max="3" width="14.140625" customWidth="1"/>
    <col min="4" max="4" width="16.28515625" style="2" customWidth="1"/>
    <col min="5" max="5" width="15.140625" customWidth="1" outlineLevel="1"/>
    <col min="6" max="6" width="14.7109375" customWidth="1" outlineLevel="1"/>
    <col min="7" max="7" width="16.28515625" customWidth="1" outlineLevel="1"/>
    <col min="244" max="244" width="7" customWidth="1"/>
    <col min="245" max="245" width="45.140625" customWidth="1"/>
    <col min="246" max="246" width="14.140625" customWidth="1"/>
    <col min="247" max="247" width="18.42578125" customWidth="1"/>
    <col min="248" max="250" width="0" hidden="1" customWidth="1"/>
    <col min="251" max="251" width="15.140625" customWidth="1"/>
    <col min="252" max="252" width="15.7109375" customWidth="1"/>
    <col min="253" max="253" width="12.5703125" customWidth="1"/>
    <col min="254" max="254" width="13.42578125" customWidth="1"/>
    <col min="500" max="500" width="7" customWidth="1"/>
    <col min="501" max="501" width="45.140625" customWidth="1"/>
    <col min="502" max="502" width="14.140625" customWidth="1"/>
    <col min="503" max="503" width="18.42578125" customWidth="1"/>
    <col min="504" max="506" width="0" hidden="1" customWidth="1"/>
    <col min="507" max="507" width="15.140625" customWidth="1"/>
    <col min="508" max="508" width="15.7109375" customWidth="1"/>
    <col min="509" max="509" width="12.5703125" customWidth="1"/>
    <col min="510" max="510" width="13.42578125" customWidth="1"/>
    <col min="756" max="756" width="7" customWidth="1"/>
    <col min="757" max="757" width="45.140625" customWidth="1"/>
    <col min="758" max="758" width="14.140625" customWidth="1"/>
    <col min="759" max="759" width="18.42578125" customWidth="1"/>
    <col min="760" max="762" width="0" hidden="1" customWidth="1"/>
    <col min="763" max="763" width="15.140625" customWidth="1"/>
    <col min="764" max="764" width="15.7109375" customWidth="1"/>
    <col min="765" max="765" width="12.5703125" customWidth="1"/>
    <col min="766" max="766" width="13.42578125" customWidth="1"/>
    <col min="1012" max="1012" width="7" customWidth="1"/>
    <col min="1013" max="1013" width="45.140625" customWidth="1"/>
    <col min="1014" max="1014" width="14.140625" customWidth="1"/>
    <col min="1015" max="1015" width="18.42578125" customWidth="1"/>
    <col min="1016" max="1018" width="0" hidden="1" customWidth="1"/>
    <col min="1019" max="1019" width="15.140625" customWidth="1"/>
    <col min="1020" max="1020" width="15.7109375" customWidth="1"/>
    <col min="1021" max="1021" width="12.5703125" customWidth="1"/>
    <col min="1022" max="1022" width="13.42578125" customWidth="1"/>
    <col min="1268" max="1268" width="7" customWidth="1"/>
    <col min="1269" max="1269" width="45.140625" customWidth="1"/>
    <col min="1270" max="1270" width="14.140625" customWidth="1"/>
    <col min="1271" max="1271" width="18.42578125" customWidth="1"/>
    <col min="1272" max="1274" width="0" hidden="1" customWidth="1"/>
    <col min="1275" max="1275" width="15.140625" customWidth="1"/>
    <col min="1276" max="1276" width="15.7109375" customWidth="1"/>
    <col min="1277" max="1277" width="12.5703125" customWidth="1"/>
    <col min="1278" max="1278" width="13.42578125" customWidth="1"/>
    <col min="1524" max="1524" width="7" customWidth="1"/>
    <col min="1525" max="1525" width="45.140625" customWidth="1"/>
    <col min="1526" max="1526" width="14.140625" customWidth="1"/>
    <col min="1527" max="1527" width="18.42578125" customWidth="1"/>
    <col min="1528" max="1530" width="0" hidden="1" customWidth="1"/>
    <col min="1531" max="1531" width="15.140625" customWidth="1"/>
    <col min="1532" max="1532" width="15.7109375" customWidth="1"/>
    <col min="1533" max="1533" width="12.5703125" customWidth="1"/>
    <col min="1534" max="1534" width="13.42578125" customWidth="1"/>
    <col min="1780" max="1780" width="7" customWidth="1"/>
    <col min="1781" max="1781" width="45.140625" customWidth="1"/>
    <col min="1782" max="1782" width="14.140625" customWidth="1"/>
    <col min="1783" max="1783" width="18.42578125" customWidth="1"/>
    <col min="1784" max="1786" width="0" hidden="1" customWidth="1"/>
    <col min="1787" max="1787" width="15.140625" customWidth="1"/>
    <col min="1788" max="1788" width="15.7109375" customWidth="1"/>
    <col min="1789" max="1789" width="12.5703125" customWidth="1"/>
    <col min="1790" max="1790" width="13.42578125" customWidth="1"/>
    <col min="2036" max="2036" width="7" customWidth="1"/>
    <col min="2037" max="2037" width="45.140625" customWidth="1"/>
    <col min="2038" max="2038" width="14.140625" customWidth="1"/>
    <col min="2039" max="2039" width="18.42578125" customWidth="1"/>
    <col min="2040" max="2042" width="0" hidden="1" customWidth="1"/>
    <col min="2043" max="2043" width="15.140625" customWidth="1"/>
    <col min="2044" max="2044" width="15.7109375" customWidth="1"/>
    <col min="2045" max="2045" width="12.5703125" customWidth="1"/>
    <col min="2046" max="2046" width="13.42578125" customWidth="1"/>
    <col min="2292" max="2292" width="7" customWidth="1"/>
    <col min="2293" max="2293" width="45.140625" customWidth="1"/>
    <col min="2294" max="2294" width="14.140625" customWidth="1"/>
    <col min="2295" max="2295" width="18.42578125" customWidth="1"/>
    <col min="2296" max="2298" width="0" hidden="1" customWidth="1"/>
    <col min="2299" max="2299" width="15.140625" customWidth="1"/>
    <col min="2300" max="2300" width="15.7109375" customWidth="1"/>
    <col min="2301" max="2301" width="12.5703125" customWidth="1"/>
    <col min="2302" max="2302" width="13.42578125" customWidth="1"/>
    <col min="2548" max="2548" width="7" customWidth="1"/>
    <col min="2549" max="2549" width="45.140625" customWidth="1"/>
    <col min="2550" max="2550" width="14.140625" customWidth="1"/>
    <col min="2551" max="2551" width="18.42578125" customWidth="1"/>
    <col min="2552" max="2554" width="0" hidden="1" customWidth="1"/>
    <col min="2555" max="2555" width="15.140625" customWidth="1"/>
    <col min="2556" max="2556" width="15.7109375" customWidth="1"/>
    <col min="2557" max="2557" width="12.5703125" customWidth="1"/>
    <col min="2558" max="2558" width="13.42578125" customWidth="1"/>
    <col min="2804" max="2804" width="7" customWidth="1"/>
    <col min="2805" max="2805" width="45.140625" customWidth="1"/>
    <col min="2806" max="2806" width="14.140625" customWidth="1"/>
    <col min="2807" max="2807" width="18.42578125" customWidth="1"/>
    <col min="2808" max="2810" width="0" hidden="1" customWidth="1"/>
    <col min="2811" max="2811" width="15.140625" customWidth="1"/>
    <col min="2812" max="2812" width="15.7109375" customWidth="1"/>
    <col min="2813" max="2813" width="12.5703125" customWidth="1"/>
    <col min="2814" max="2814" width="13.42578125" customWidth="1"/>
    <col min="3060" max="3060" width="7" customWidth="1"/>
    <col min="3061" max="3061" width="45.140625" customWidth="1"/>
    <col min="3062" max="3062" width="14.140625" customWidth="1"/>
    <col min="3063" max="3063" width="18.42578125" customWidth="1"/>
    <col min="3064" max="3066" width="0" hidden="1" customWidth="1"/>
    <col min="3067" max="3067" width="15.140625" customWidth="1"/>
    <col min="3068" max="3068" width="15.7109375" customWidth="1"/>
    <col min="3069" max="3069" width="12.5703125" customWidth="1"/>
    <col min="3070" max="3070" width="13.42578125" customWidth="1"/>
    <col min="3316" max="3316" width="7" customWidth="1"/>
    <col min="3317" max="3317" width="45.140625" customWidth="1"/>
    <col min="3318" max="3318" width="14.140625" customWidth="1"/>
    <col min="3319" max="3319" width="18.42578125" customWidth="1"/>
    <col min="3320" max="3322" width="0" hidden="1" customWidth="1"/>
    <col min="3323" max="3323" width="15.140625" customWidth="1"/>
    <col min="3324" max="3324" width="15.7109375" customWidth="1"/>
    <col min="3325" max="3325" width="12.5703125" customWidth="1"/>
    <col min="3326" max="3326" width="13.42578125" customWidth="1"/>
    <col min="3572" max="3572" width="7" customWidth="1"/>
    <col min="3573" max="3573" width="45.140625" customWidth="1"/>
    <col min="3574" max="3574" width="14.140625" customWidth="1"/>
    <col min="3575" max="3575" width="18.42578125" customWidth="1"/>
    <col min="3576" max="3578" width="0" hidden="1" customWidth="1"/>
    <col min="3579" max="3579" width="15.140625" customWidth="1"/>
    <col min="3580" max="3580" width="15.7109375" customWidth="1"/>
    <col min="3581" max="3581" width="12.5703125" customWidth="1"/>
    <col min="3582" max="3582" width="13.42578125" customWidth="1"/>
    <col min="3828" max="3828" width="7" customWidth="1"/>
    <col min="3829" max="3829" width="45.140625" customWidth="1"/>
    <col min="3830" max="3830" width="14.140625" customWidth="1"/>
    <col min="3831" max="3831" width="18.42578125" customWidth="1"/>
    <col min="3832" max="3834" width="0" hidden="1" customWidth="1"/>
    <col min="3835" max="3835" width="15.140625" customWidth="1"/>
    <col min="3836" max="3836" width="15.7109375" customWidth="1"/>
    <col min="3837" max="3837" width="12.5703125" customWidth="1"/>
    <col min="3838" max="3838" width="13.42578125" customWidth="1"/>
    <col min="4084" max="4084" width="7" customWidth="1"/>
    <col min="4085" max="4085" width="45.140625" customWidth="1"/>
    <col min="4086" max="4086" width="14.140625" customWidth="1"/>
    <col min="4087" max="4087" width="18.42578125" customWidth="1"/>
    <col min="4088" max="4090" width="0" hidden="1" customWidth="1"/>
    <col min="4091" max="4091" width="15.140625" customWidth="1"/>
    <col min="4092" max="4092" width="15.7109375" customWidth="1"/>
    <col min="4093" max="4093" width="12.5703125" customWidth="1"/>
    <col min="4094" max="4094" width="13.42578125" customWidth="1"/>
    <col min="4340" max="4340" width="7" customWidth="1"/>
    <col min="4341" max="4341" width="45.140625" customWidth="1"/>
    <col min="4342" max="4342" width="14.140625" customWidth="1"/>
    <col min="4343" max="4343" width="18.42578125" customWidth="1"/>
    <col min="4344" max="4346" width="0" hidden="1" customWidth="1"/>
    <col min="4347" max="4347" width="15.140625" customWidth="1"/>
    <col min="4348" max="4348" width="15.7109375" customWidth="1"/>
    <col min="4349" max="4349" width="12.5703125" customWidth="1"/>
    <col min="4350" max="4350" width="13.42578125" customWidth="1"/>
    <col min="4596" max="4596" width="7" customWidth="1"/>
    <col min="4597" max="4597" width="45.140625" customWidth="1"/>
    <col min="4598" max="4598" width="14.140625" customWidth="1"/>
    <col min="4599" max="4599" width="18.42578125" customWidth="1"/>
    <col min="4600" max="4602" width="0" hidden="1" customWidth="1"/>
    <col min="4603" max="4603" width="15.140625" customWidth="1"/>
    <col min="4604" max="4604" width="15.7109375" customWidth="1"/>
    <col min="4605" max="4605" width="12.5703125" customWidth="1"/>
    <col min="4606" max="4606" width="13.42578125" customWidth="1"/>
    <col min="4852" max="4852" width="7" customWidth="1"/>
    <col min="4853" max="4853" width="45.140625" customWidth="1"/>
    <col min="4854" max="4854" width="14.140625" customWidth="1"/>
    <col min="4855" max="4855" width="18.42578125" customWidth="1"/>
    <col min="4856" max="4858" width="0" hidden="1" customWidth="1"/>
    <col min="4859" max="4859" width="15.140625" customWidth="1"/>
    <col min="4860" max="4860" width="15.7109375" customWidth="1"/>
    <col min="4861" max="4861" width="12.5703125" customWidth="1"/>
    <col min="4862" max="4862" width="13.42578125" customWidth="1"/>
    <col min="5108" max="5108" width="7" customWidth="1"/>
    <col min="5109" max="5109" width="45.140625" customWidth="1"/>
    <col min="5110" max="5110" width="14.140625" customWidth="1"/>
    <col min="5111" max="5111" width="18.42578125" customWidth="1"/>
    <col min="5112" max="5114" width="0" hidden="1" customWidth="1"/>
    <col min="5115" max="5115" width="15.140625" customWidth="1"/>
    <col min="5116" max="5116" width="15.7109375" customWidth="1"/>
    <col min="5117" max="5117" width="12.5703125" customWidth="1"/>
    <col min="5118" max="5118" width="13.42578125" customWidth="1"/>
    <col min="5364" max="5364" width="7" customWidth="1"/>
    <col min="5365" max="5365" width="45.140625" customWidth="1"/>
    <col min="5366" max="5366" width="14.140625" customWidth="1"/>
    <col min="5367" max="5367" width="18.42578125" customWidth="1"/>
    <col min="5368" max="5370" width="0" hidden="1" customWidth="1"/>
    <col min="5371" max="5371" width="15.140625" customWidth="1"/>
    <col min="5372" max="5372" width="15.7109375" customWidth="1"/>
    <col min="5373" max="5373" width="12.5703125" customWidth="1"/>
    <col min="5374" max="5374" width="13.42578125" customWidth="1"/>
    <col min="5620" max="5620" width="7" customWidth="1"/>
    <col min="5621" max="5621" width="45.140625" customWidth="1"/>
    <col min="5622" max="5622" width="14.140625" customWidth="1"/>
    <col min="5623" max="5623" width="18.42578125" customWidth="1"/>
    <col min="5624" max="5626" width="0" hidden="1" customWidth="1"/>
    <col min="5627" max="5627" width="15.140625" customWidth="1"/>
    <col min="5628" max="5628" width="15.7109375" customWidth="1"/>
    <col min="5629" max="5629" width="12.5703125" customWidth="1"/>
    <col min="5630" max="5630" width="13.42578125" customWidth="1"/>
    <col min="5876" max="5876" width="7" customWidth="1"/>
    <col min="5877" max="5877" width="45.140625" customWidth="1"/>
    <col min="5878" max="5878" width="14.140625" customWidth="1"/>
    <col min="5879" max="5879" width="18.42578125" customWidth="1"/>
    <col min="5880" max="5882" width="0" hidden="1" customWidth="1"/>
    <col min="5883" max="5883" width="15.140625" customWidth="1"/>
    <col min="5884" max="5884" width="15.7109375" customWidth="1"/>
    <col min="5885" max="5885" width="12.5703125" customWidth="1"/>
    <col min="5886" max="5886" width="13.42578125" customWidth="1"/>
    <col min="6132" max="6132" width="7" customWidth="1"/>
    <col min="6133" max="6133" width="45.140625" customWidth="1"/>
    <col min="6134" max="6134" width="14.140625" customWidth="1"/>
    <col min="6135" max="6135" width="18.42578125" customWidth="1"/>
    <col min="6136" max="6138" width="0" hidden="1" customWidth="1"/>
    <col min="6139" max="6139" width="15.140625" customWidth="1"/>
    <col min="6140" max="6140" width="15.7109375" customWidth="1"/>
    <col min="6141" max="6141" width="12.5703125" customWidth="1"/>
    <col min="6142" max="6142" width="13.42578125" customWidth="1"/>
    <col min="6388" max="6388" width="7" customWidth="1"/>
    <col min="6389" max="6389" width="45.140625" customWidth="1"/>
    <col min="6390" max="6390" width="14.140625" customWidth="1"/>
    <col min="6391" max="6391" width="18.42578125" customWidth="1"/>
    <col min="6392" max="6394" width="0" hidden="1" customWidth="1"/>
    <col min="6395" max="6395" width="15.140625" customWidth="1"/>
    <col min="6396" max="6396" width="15.7109375" customWidth="1"/>
    <col min="6397" max="6397" width="12.5703125" customWidth="1"/>
    <col min="6398" max="6398" width="13.42578125" customWidth="1"/>
    <col min="6644" max="6644" width="7" customWidth="1"/>
    <col min="6645" max="6645" width="45.140625" customWidth="1"/>
    <col min="6646" max="6646" width="14.140625" customWidth="1"/>
    <col min="6647" max="6647" width="18.42578125" customWidth="1"/>
    <col min="6648" max="6650" width="0" hidden="1" customWidth="1"/>
    <col min="6651" max="6651" width="15.140625" customWidth="1"/>
    <col min="6652" max="6652" width="15.7109375" customWidth="1"/>
    <col min="6653" max="6653" width="12.5703125" customWidth="1"/>
    <col min="6654" max="6654" width="13.42578125" customWidth="1"/>
    <col min="6900" max="6900" width="7" customWidth="1"/>
    <col min="6901" max="6901" width="45.140625" customWidth="1"/>
    <col min="6902" max="6902" width="14.140625" customWidth="1"/>
    <col min="6903" max="6903" width="18.42578125" customWidth="1"/>
    <col min="6904" max="6906" width="0" hidden="1" customWidth="1"/>
    <col min="6907" max="6907" width="15.140625" customWidth="1"/>
    <col min="6908" max="6908" width="15.7109375" customWidth="1"/>
    <col min="6909" max="6909" width="12.5703125" customWidth="1"/>
    <col min="6910" max="6910" width="13.42578125" customWidth="1"/>
    <col min="7156" max="7156" width="7" customWidth="1"/>
    <col min="7157" max="7157" width="45.140625" customWidth="1"/>
    <col min="7158" max="7158" width="14.140625" customWidth="1"/>
    <col min="7159" max="7159" width="18.42578125" customWidth="1"/>
    <col min="7160" max="7162" width="0" hidden="1" customWidth="1"/>
    <col min="7163" max="7163" width="15.140625" customWidth="1"/>
    <col min="7164" max="7164" width="15.7109375" customWidth="1"/>
    <col min="7165" max="7165" width="12.5703125" customWidth="1"/>
    <col min="7166" max="7166" width="13.42578125" customWidth="1"/>
    <col min="7412" max="7412" width="7" customWidth="1"/>
    <col min="7413" max="7413" width="45.140625" customWidth="1"/>
    <col min="7414" max="7414" width="14.140625" customWidth="1"/>
    <col min="7415" max="7415" width="18.42578125" customWidth="1"/>
    <col min="7416" max="7418" width="0" hidden="1" customWidth="1"/>
    <col min="7419" max="7419" width="15.140625" customWidth="1"/>
    <col min="7420" max="7420" width="15.7109375" customWidth="1"/>
    <col min="7421" max="7421" width="12.5703125" customWidth="1"/>
    <col min="7422" max="7422" width="13.42578125" customWidth="1"/>
    <col min="7668" max="7668" width="7" customWidth="1"/>
    <col min="7669" max="7669" width="45.140625" customWidth="1"/>
    <col min="7670" max="7670" width="14.140625" customWidth="1"/>
    <col min="7671" max="7671" width="18.42578125" customWidth="1"/>
    <col min="7672" max="7674" width="0" hidden="1" customWidth="1"/>
    <col min="7675" max="7675" width="15.140625" customWidth="1"/>
    <col min="7676" max="7676" width="15.7109375" customWidth="1"/>
    <col min="7677" max="7677" width="12.5703125" customWidth="1"/>
    <col min="7678" max="7678" width="13.42578125" customWidth="1"/>
    <col min="7924" max="7924" width="7" customWidth="1"/>
    <col min="7925" max="7925" width="45.140625" customWidth="1"/>
    <col min="7926" max="7926" width="14.140625" customWidth="1"/>
    <col min="7927" max="7927" width="18.42578125" customWidth="1"/>
    <col min="7928" max="7930" width="0" hidden="1" customWidth="1"/>
    <col min="7931" max="7931" width="15.140625" customWidth="1"/>
    <col min="7932" max="7932" width="15.7109375" customWidth="1"/>
    <col min="7933" max="7933" width="12.5703125" customWidth="1"/>
    <col min="7934" max="7934" width="13.42578125" customWidth="1"/>
    <col min="8180" max="8180" width="7" customWidth="1"/>
    <col min="8181" max="8181" width="45.140625" customWidth="1"/>
    <col min="8182" max="8182" width="14.140625" customWidth="1"/>
    <col min="8183" max="8183" width="18.42578125" customWidth="1"/>
    <col min="8184" max="8186" width="0" hidden="1" customWidth="1"/>
    <col min="8187" max="8187" width="15.140625" customWidth="1"/>
    <col min="8188" max="8188" width="15.7109375" customWidth="1"/>
    <col min="8189" max="8189" width="12.5703125" customWidth="1"/>
    <col min="8190" max="8190" width="13.42578125" customWidth="1"/>
    <col min="8436" max="8436" width="7" customWidth="1"/>
    <col min="8437" max="8437" width="45.140625" customWidth="1"/>
    <col min="8438" max="8438" width="14.140625" customWidth="1"/>
    <col min="8439" max="8439" width="18.42578125" customWidth="1"/>
    <col min="8440" max="8442" width="0" hidden="1" customWidth="1"/>
    <col min="8443" max="8443" width="15.140625" customWidth="1"/>
    <col min="8444" max="8444" width="15.7109375" customWidth="1"/>
    <col min="8445" max="8445" width="12.5703125" customWidth="1"/>
    <col min="8446" max="8446" width="13.42578125" customWidth="1"/>
    <col min="8692" max="8692" width="7" customWidth="1"/>
    <col min="8693" max="8693" width="45.140625" customWidth="1"/>
    <col min="8694" max="8694" width="14.140625" customWidth="1"/>
    <col min="8695" max="8695" width="18.42578125" customWidth="1"/>
    <col min="8696" max="8698" width="0" hidden="1" customWidth="1"/>
    <col min="8699" max="8699" width="15.140625" customWidth="1"/>
    <col min="8700" max="8700" width="15.7109375" customWidth="1"/>
    <col min="8701" max="8701" width="12.5703125" customWidth="1"/>
    <col min="8702" max="8702" width="13.42578125" customWidth="1"/>
    <col min="8948" max="8948" width="7" customWidth="1"/>
    <col min="8949" max="8949" width="45.140625" customWidth="1"/>
    <col min="8950" max="8950" width="14.140625" customWidth="1"/>
    <col min="8951" max="8951" width="18.42578125" customWidth="1"/>
    <col min="8952" max="8954" width="0" hidden="1" customWidth="1"/>
    <col min="8955" max="8955" width="15.140625" customWidth="1"/>
    <col min="8956" max="8956" width="15.7109375" customWidth="1"/>
    <col min="8957" max="8957" width="12.5703125" customWidth="1"/>
    <col min="8958" max="8958" width="13.42578125" customWidth="1"/>
    <col min="9204" max="9204" width="7" customWidth="1"/>
    <col min="9205" max="9205" width="45.140625" customWidth="1"/>
    <col min="9206" max="9206" width="14.140625" customWidth="1"/>
    <col min="9207" max="9207" width="18.42578125" customWidth="1"/>
    <col min="9208" max="9210" width="0" hidden="1" customWidth="1"/>
    <col min="9211" max="9211" width="15.140625" customWidth="1"/>
    <col min="9212" max="9212" width="15.7109375" customWidth="1"/>
    <col min="9213" max="9213" width="12.5703125" customWidth="1"/>
    <col min="9214" max="9214" width="13.42578125" customWidth="1"/>
    <col min="9460" max="9460" width="7" customWidth="1"/>
    <col min="9461" max="9461" width="45.140625" customWidth="1"/>
    <col min="9462" max="9462" width="14.140625" customWidth="1"/>
    <col min="9463" max="9463" width="18.42578125" customWidth="1"/>
    <col min="9464" max="9466" width="0" hidden="1" customWidth="1"/>
    <col min="9467" max="9467" width="15.140625" customWidth="1"/>
    <col min="9468" max="9468" width="15.7109375" customWidth="1"/>
    <col min="9469" max="9469" width="12.5703125" customWidth="1"/>
    <col min="9470" max="9470" width="13.42578125" customWidth="1"/>
    <col min="9716" max="9716" width="7" customWidth="1"/>
    <col min="9717" max="9717" width="45.140625" customWidth="1"/>
    <col min="9718" max="9718" width="14.140625" customWidth="1"/>
    <col min="9719" max="9719" width="18.42578125" customWidth="1"/>
    <col min="9720" max="9722" width="0" hidden="1" customWidth="1"/>
    <col min="9723" max="9723" width="15.140625" customWidth="1"/>
    <col min="9724" max="9724" width="15.7109375" customWidth="1"/>
    <col min="9725" max="9725" width="12.5703125" customWidth="1"/>
    <col min="9726" max="9726" width="13.42578125" customWidth="1"/>
    <col min="9972" max="9972" width="7" customWidth="1"/>
    <col min="9973" max="9973" width="45.140625" customWidth="1"/>
    <col min="9974" max="9974" width="14.140625" customWidth="1"/>
    <col min="9975" max="9975" width="18.42578125" customWidth="1"/>
    <col min="9976" max="9978" width="0" hidden="1" customWidth="1"/>
    <col min="9979" max="9979" width="15.140625" customWidth="1"/>
    <col min="9980" max="9980" width="15.7109375" customWidth="1"/>
    <col min="9981" max="9981" width="12.5703125" customWidth="1"/>
    <col min="9982" max="9982" width="13.42578125" customWidth="1"/>
    <col min="10228" max="10228" width="7" customWidth="1"/>
    <col min="10229" max="10229" width="45.140625" customWidth="1"/>
    <col min="10230" max="10230" width="14.140625" customWidth="1"/>
    <col min="10231" max="10231" width="18.42578125" customWidth="1"/>
    <col min="10232" max="10234" width="0" hidden="1" customWidth="1"/>
    <col min="10235" max="10235" width="15.140625" customWidth="1"/>
    <col min="10236" max="10236" width="15.7109375" customWidth="1"/>
    <col min="10237" max="10237" width="12.5703125" customWidth="1"/>
    <col min="10238" max="10238" width="13.42578125" customWidth="1"/>
    <col min="10484" max="10484" width="7" customWidth="1"/>
    <col min="10485" max="10485" width="45.140625" customWidth="1"/>
    <col min="10486" max="10486" width="14.140625" customWidth="1"/>
    <col min="10487" max="10487" width="18.42578125" customWidth="1"/>
    <col min="10488" max="10490" width="0" hidden="1" customWidth="1"/>
    <col min="10491" max="10491" width="15.140625" customWidth="1"/>
    <col min="10492" max="10492" width="15.7109375" customWidth="1"/>
    <col min="10493" max="10493" width="12.5703125" customWidth="1"/>
    <col min="10494" max="10494" width="13.42578125" customWidth="1"/>
    <col min="10740" max="10740" width="7" customWidth="1"/>
    <col min="10741" max="10741" width="45.140625" customWidth="1"/>
    <col min="10742" max="10742" width="14.140625" customWidth="1"/>
    <col min="10743" max="10743" width="18.42578125" customWidth="1"/>
    <col min="10744" max="10746" width="0" hidden="1" customWidth="1"/>
    <col min="10747" max="10747" width="15.140625" customWidth="1"/>
    <col min="10748" max="10748" width="15.7109375" customWidth="1"/>
    <col min="10749" max="10749" width="12.5703125" customWidth="1"/>
    <col min="10750" max="10750" width="13.42578125" customWidth="1"/>
    <col min="10996" max="10996" width="7" customWidth="1"/>
    <col min="10997" max="10997" width="45.140625" customWidth="1"/>
    <col min="10998" max="10998" width="14.140625" customWidth="1"/>
    <col min="10999" max="10999" width="18.42578125" customWidth="1"/>
    <col min="11000" max="11002" width="0" hidden="1" customWidth="1"/>
    <col min="11003" max="11003" width="15.140625" customWidth="1"/>
    <col min="11004" max="11004" width="15.7109375" customWidth="1"/>
    <col min="11005" max="11005" width="12.5703125" customWidth="1"/>
    <col min="11006" max="11006" width="13.42578125" customWidth="1"/>
    <col min="11252" max="11252" width="7" customWidth="1"/>
    <col min="11253" max="11253" width="45.140625" customWidth="1"/>
    <col min="11254" max="11254" width="14.140625" customWidth="1"/>
    <col min="11255" max="11255" width="18.42578125" customWidth="1"/>
    <col min="11256" max="11258" width="0" hidden="1" customWidth="1"/>
    <col min="11259" max="11259" width="15.140625" customWidth="1"/>
    <col min="11260" max="11260" width="15.7109375" customWidth="1"/>
    <col min="11261" max="11261" width="12.5703125" customWidth="1"/>
    <col min="11262" max="11262" width="13.42578125" customWidth="1"/>
    <col min="11508" max="11508" width="7" customWidth="1"/>
    <col min="11509" max="11509" width="45.140625" customWidth="1"/>
    <col min="11510" max="11510" width="14.140625" customWidth="1"/>
    <col min="11511" max="11511" width="18.42578125" customWidth="1"/>
    <col min="11512" max="11514" width="0" hidden="1" customWidth="1"/>
    <col min="11515" max="11515" width="15.140625" customWidth="1"/>
    <col min="11516" max="11516" width="15.7109375" customWidth="1"/>
    <col min="11517" max="11517" width="12.5703125" customWidth="1"/>
    <col min="11518" max="11518" width="13.42578125" customWidth="1"/>
    <col min="11764" max="11764" width="7" customWidth="1"/>
    <col min="11765" max="11765" width="45.140625" customWidth="1"/>
    <col min="11766" max="11766" width="14.140625" customWidth="1"/>
    <col min="11767" max="11767" width="18.42578125" customWidth="1"/>
    <col min="11768" max="11770" width="0" hidden="1" customWidth="1"/>
    <col min="11771" max="11771" width="15.140625" customWidth="1"/>
    <col min="11772" max="11772" width="15.7109375" customWidth="1"/>
    <col min="11773" max="11773" width="12.5703125" customWidth="1"/>
    <col min="11774" max="11774" width="13.42578125" customWidth="1"/>
    <col min="12020" max="12020" width="7" customWidth="1"/>
    <col min="12021" max="12021" width="45.140625" customWidth="1"/>
    <col min="12022" max="12022" width="14.140625" customWidth="1"/>
    <col min="12023" max="12023" width="18.42578125" customWidth="1"/>
    <col min="12024" max="12026" width="0" hidden="1" customWidth="1"/>
    <col min="12027" max="12027" width="15.140625" customWidth="1"/>
    <col min="12028" max="12028" width="15.7109375" customWidth="1"/>
    <col min="12029" max="12029" width="12.5703125" customWidth="1"/>
    <col min="12030" max="12030" width="13.42578125" customWidth="1"/>
    <col min="12276" max="12276" width="7" customWidth="1"/>
    <col min="12277" max="12277" width="45.140625" customWidth="1"/>
    <col min="12278" max="12278" width="14.140625" customWidth="1"/>
    <col min="12279" max="12279" width="18.42578125" customWidth="1"/>
    <col min="12280" max="12282" width="0" hidden="1" customWidth="1"/>
    <col min="12283" max="12283" width="15.140625" customWidth="1"/>
    <col min="12284" max="12284" width="15.7109375" customWidth="1"/>
    <col min="12285" max="12285" width="12.5703125" customWidth="1"/>
    <col min="12286" max="12286" width="13.42578125" customWidth="1"/>
    <col min="12532" max="12532" width="7" customWidth="1"/>
    <col min="12533" max="12533" width="45.140625" customWidth="1"/>
    <col min="12534" max="12534" width="14.140625" customWidth="1"/>
    <col min="12535" max="12535" width="18.42578125" customWidth="1"/>
    <col min="12536" max="12538" width="0" hidden="1" customWidth="1"/>
    <col min="12539" max="12539" width="15.140625" customWidth="1"/>
    <col min="12540" max="12540" width="15.7109375" customWidth="1"/>
    <col min="12541" max="12541" width="12.5703125" customWidth="1"/>
    <col min="12542" max="12542" width="13.42578125" customWidth="1"/>
    <col min="12788" max="12788" width="7" customWidth="1"/>
    <col min="12789" max="12789" width="45.140625" customWidth="1"/>
    <col min="12790" max="12790" width="14.140625" customWidth="1"/>
    <col min="12791" max="12791" width="18.42578125" customWidth="1"/>
    <col min="12792" max="12794" width="0" hidden="1" customWidth="1"/>
    <col min="12795" max="12795" width="15.140625" customWidth="1"/>
    <col min="12796" max="12796" width="15.7109375" customWidth="1"/>
    <col min="12797" max="12797" width="12.5703125" customWidth="1"/>
    <col min="12798" max="12798" width="13.42578125" customWidth="1"/>
    <col min="13044" max="13044" width="7" customWidth="1"/>
    <col min="13045" max="13045" width="45.140625" customWidth="1"/>
    <col min="13046" max="13046" width="14.140625" customWidth="1"/>
    <col min="13047" max="13047" width="18.42578125" customWidth="1"/>
    <col min="13048" max="13050" width="0" hidden="1" customWidth="1"/>
    <col min="13051" max="13051" width="15.140625" customWidth="1"/>
    <col min="13052" max="13052" width="15.7109375" customWidth="1"/>
    <col min="13053" max="13053" width="12.5703125" customWidth="1"/>
    <col min="13054" max="13054" width="13.42578125" customWidth="1"/>
    <col min="13300" max="13300" width="7" customWidth="1"/>
    <col min="13301" max="13301" width="45.140625" customWidth="1"/>
    <col min="13302" max="13302" width="14.140625" customWidth="1"/>
    <col min="13303" max="13303" width="18.42578125" customWidth="1"/>
    <col min="13304" max="13306" width="0" hidden="1" customWidth="1"/>
    <col min="13307" max="13307" width="15.140625" customWidth="1"/>
    <col min="13308" max="13308" width="15.7109375" customWidth="1"/>
    <col min="13309" max="13309" width="12.5703125" customWidth="1"/>
    <col min="13310" max="13310" width="13.42578125" customWidth="1"/>
    <col min="13556" max="13556" width="7" customWidth="1"/>
    <col min="13557" max="13557" width="45.140625" customWidth="1"/>
    <col min="13558" max="13558" width="14.140625" customWidth="1"/>
    <col min="13559" max="13559" width="18.42578125" customWidth="1"/>
    <col min="13560" max="13562" width="0" hidden="1" customWidth="1"/>
    <col min="13563" max="13563" width="15.140625" customWidth="1"/>
    <col min="13564" max="13564" width="15.7109375" customWidth="1"/>
    <col min="13565" max="13565" width="12.5703125" customWidth="1"/>
    <col min="13566" max="13566" width="13.42578125" customWidth="1"/>
    <col min="13812" max="13812" width="7" customWidth="1"/>
    <col min="13813" max="13813" width="45.140625" customWidth="1"/>
    <col min="13814" max="13814" width="14.140625" customWidth="1"/>
    <col min="13815" max="13815" width="18.42578125" customWidth="1"/>
    <col min="13816" max="13818" width="0" hidden="1" customWidth="1"/>
    <col min="13819" max="13819" width="15.140625" customWidth="1"/>
    <col min="13820" max="13820" width="15.7109375" customWidth="1"/>
    <col min="13821" max="13821" width="12.5703125" customWidth="1"/>
    <col min="13822" max="13822" width="13.42578125" customWidth="1"/>
    <col min="14068" max="14068" width="7" customWidth="1"/>
    <col min="14069" max="14069" width="45.140625" customWidth="1"/>
    <col min="14070" max="14070" width="14.140625" customWidth="1"/>
    <col min="14071" max="14071" width="18.42578125" customWidth="1"/>
    <col min="14072" max="14074" width="0" hidden="1" customWidth="1"/>
    <col min="14075" max="14075" width="15.140625" customWidth="1"/>
    <col min="14076" max="14076" width="15.7109375" customWidth="1"/>
    <col min="14077" max="14077" width="12.5703125" customWidth="1"/>
    <col min="14078" max="14078" width="13.42578125" customWidth="1"/>
    <col min="14324" max="14324" width="7" customWidth="1"/>
    <col min="14325" max="14325" width="45.140625" customWidth="1"/>
    <col min="14326" max="14326" width="14.140625" customWidth="1"/>
    <col min="14327" max="14327" width="18.42578125" customWidth="1"/>
    <col min="14328" max="14330" width="0" hidden="1" customWidth="1"/>
    <col min="14331" max="14331" width="15.140625" customWidth="1"/>
    <col min="14332" max="14332" width="15.7109375" customWidth="1"/>
    <col min="14333" max="14333" width="12.5703125" customWidth="1"/>
    <col min="14334" max="14334" width="13.42578125" customWidth="1"/>
    <col min="14580" max="14580" width="7" customWidth="1"/>
    <col min="14581" max="14581" width="45.140625" customWidth="1"/>
    <col min="14582" max="14582" width="14.140625" customWidth="1"/>
    <col min="14583" max="14583" width="18.42578125" customWidth="1"/>
    <col min="14584" max="14586" width="0" hidden="1" customWidth="1"/>
    <col min="14587" max="14587" width="15.140625" customWidth="1"/>
    <col min="14588" max="14588" width="15.7109375" customWidth="1"/>
    <col min="14589" max="14589" width="12.5703125" customWidth="1"/>
    <col min="14590" max="14590" width="13.42578125" customWidth="1"/>
    <col min="14836" max="14836" width="7" customWidth="1"/>
    <col min="14837" max="14837" width="45.140625" customWidth="1"/>
    <col min="14838" max="14838" width="14.140625" customWidth="1"/>
    <col min="14839" max="14839" width="18.42578125" customWidth="1"/>
    <col min="14840" max="14842" width="0" hidden="1" customWidth="1"/>
    <col min="14843" max="14843" width="15.140625" customWidth="1"/>
    <col min="14844" max="14844" width="15.7109375" customWidth="1"/>
    <col min="14845" max="14845" width="12.5703125" customWidth="1"/>
    <col min="14846" max="14846" width="13.42578125" customWidth="1"/>
    <col min="15092" max="15092" width="7" customWidth="1"/>
    <col min="15093" max="15093" width="45.140625" customWidth="1"/>
    <col min="15094" max="15094" width="14.140625" customWidth="1"/>
    <col min="15095" max="15095" width="18.42578125" customWidth="1"/>
    <col min="15096" max="15098" width="0" hidden="1" customWidth="1"/>
    <col min="15099" max="15099" width="15.140625" customWidth="1"/>
    <col min="15100" max="15100" width="15.7109375" customWidth="1"/>
    <col min="15101" max="15101" width="12.5703125" customWidth="1"/>
    <col min="15102" max="15102" width="13.42578125" customWidth="1"/>
    <col min="15348" max="15348" width="7" customWidth="1"/>
    <col min="15349" max="15349" width="45.140625" customWidth="1"/>
    <col min="15350" max="15350" width="14.140625" customWidth="1"/>
    <col min="15351" max="15351" width="18.42578125" customWidth="1"/>
    <col min="15352" max="15354" width="0" hidden="1" customWidth="1"/>
    <col min="15355" max="15355" width="15.140625" customWidth="1"/>
    <col min="15356" max="15356" width="15.7109375" customWidth="1"/>
    <col min="15357" max="15357" width="12.5703125" customWidth="1"/>
    <col min="15358" max="15358" width="13.42578125" customWidth="1"/>
    <col min="15604" max="15604" width="7" customWidth="1"/>
    <col min="15605" max="15605" width="45.140625" customWidth="1"/>
    <col min="15606" max="15606" width="14.140625" customWidth="1"/>
    <col min="15607" max="15607" width="18.42578125" customWidth="1"/>
    <col min="15608" max="15610" width="0" hidden="1" customWidth="1"/>
    <col min="15611" max="15611" width="15.140625" customWidth="1"/>
    <col min="15612" max="15612" width="15.7109375" customWidth="1"/>
    <col min="15613" max="15613" width="12.5703125" customWidth="1"/>
    <col min="15614" max="15614" width="13.42578125" customWidth="1"/>
    <col min="15860" max="15860" width="7" customWidth="1"/>
    <col min="15861" max="15861" width="45.140625" customWidth="1"/>
    <col min="15862" max="15862" width="14.140625" customWidth="1"/>
    <col min="15863" max="15863" width="18.42578125" customWidth="1"/>
    <col min="15864" max="15866" width="0" hidden="1" customWidth="1"/>
    <col min="15867" max="15867" width="15.140625" customWidth="1"/>
    <col min="15868" max="15868" width="15.7109375" customWidth="1"/>
    <col min="15869" max="15869" width="12.5703125" customWidth="1"/>
    <col min="15870" max="15870" width="13.42578125" customWidth="1"/>
    <col min="16116" max="16116" width="7" customWidth="1"/>
    <col min="16117" max="16117" width="45.140625" customWidth="1"/>
    <col min="16118" max="16118" width="14.140625" customWidth="1"/>
    <col min="16119" max="16119" width="18.42578125" customWidth="1"/>
    <col min="16120" max="16122" width="0" hidden="1" customWidth="1"/>
    <col min="16123" max="16123" width="15.140625" customWidth="1"/>
    <col min="16124" max="16124" width="15.7109375" customWidth="1"/>
    <col min="16125" max="16125" width="12.5703125" customWidth="1"/>
    <col min="16126" max="16126" width="13.42578125" customWidth="1"/>
  </cols>
  <sheetData>
    <row r="1" spans="1:7" x14ac:dyDescent="0.25">
      <c r="D1" s="146"/>
      <c r="E1" s="239"/>
      <c r="G1" s="1" t="s">
        <v>1130</v>
      </c>
    </row>
    <row r="2" spans="1:7" x14ac:dyDescent="0.25">
      <c r="D2" s="146"/>
      <c r="E2" s="239"/>
      <c r="G2" s="1" t="s">
        <v>1176</v>
      </c>
    </row>
    <row r="3" spans="1:7" x14ac:dyDescent="0.25">
      <c r="A3" s="240"/>
      <c r="D3" s="146"/>
      <c r="E3" s="239"/>
      <c r="G3" s="239" t="s">
        <v>395</v>
      </c>
    </row>
    <row r="4" spans="1:7" x14ac:dyDescent="0.25">
      <c r="A4" s="240"/>
      <c r="B4" s="242"/>
      <c r="C4" s="242"/>
      <c r="D4" s="374"/>
      <c r="G4" s="1" t="s">
        <v>279</v>
      </c>
    </row>
    <row r="5" spans="1:7" x14ac:dyDescent="0.25">
      <c r="A5" s="241"/>
      <c r="B5" s="586" t="s">
        <v>1047</v>
      </c>
      <c r="C5" s="586"/>
      <c r="D5" s="586"/>
      <c r="E5" s="586"/>
      <c r="F5" s="586"/>
      <c r="G5" s="586"/>
    </row>
    <row r="6" spans="1:7" x14ac:dyDescent="0.25">
      <c r="A6" s="241"/>
      <c r="B6" s="586" t="s">
        <v>1131</v>
      </c>
      <c r="C6" s="586"/>
      <c r="D6" s="586"/>
      <c r="E6" s="586"/>
      <c r="F6" s="586"/>
      <c r="G6" s="586"/>
    </row>
    <row r="7" spans="1:7" ht="15.75" customHeight="1" x14ac:dyDescent="0.25">
      <c r="A7" s="241"/>
      <c r="B7" s="595" t="s">
        <v>1132</v>
      </c>
      <c r="C7" s="595"/>
      <c r="D7" s="595"/>
      <c r="E7" s="595"/>
      <c r="F7" s="595"/>
      <c r="G7" s="595"/>
    </row>
    <row r="8" spans="1:7" ht="15.75" customHeight="1" x14ac:dyDescent="0.25">
      <c r="A8" s="242"/>
      <c r="B8" s="375"/>
      <c r="C8" s="375"/>
      <c r="D8" s="376"/>
      <c r="E8" s="145"/>
    </row>
    <row r="9" spans="1:7" ht="12.75" customHeight="1" x14ac:dyDescent="0.25">
      <c r="A9" s="596" t="s">
        <v>1050</v>
      </c>
      <c r="B9" s="597" t="s">
        <v>1051</v>
      </c>
      <c r="C9" s="321" t="s">
        <v>1053</v>
      </c>
      <c r="D9" s="255" t="s">
        <v>1052</v>
      </c>
      <c r="E9" s="321" t="s">
        <v>1133</v>
      </c>
      <c r="F9" s="255" t="s">
        <v>1052</v>
      </c>
      <c r="G9" s="255" t="s">
        <v>1052</v>
      </c>
    </row>
    <row r="10" spans="1:7" x14ac:dyDescent="0.25">
      <c r="A10" s="596"/>
      <c r="B10" s="597"/>
      <c r="C10" s="321" t="s">
        <v>1057</v>
      </c>
      <c r="D10" s="255" t="s">
        <v>1054</v>
      </c>
      <c r="E10" s="321" t="s">
        <v>1057</v>
      </c>
      <c r="F10" s="255" t="s">
        <v>1054</v>
      </c>
      <c r="G10" s="255" t="s">
        <v>1054</v>
      </c>
    </row>
    <row r="11" spans="1:7" x14ac:dyDescent="0.25">
      <c r="A11" s="596"/>
      <c r="B11" s="597"/>
      <c r="C11" s="321" t="s">
        <v>1062</v>
      </c>
      <c r="D11" s="255" t="s">
        <v>1058</v>
      </c>
      <c r="E11" s="321" t="s">
        <v>1064</v>
      </c>
      <c r="F11" s="255" t="s">
        <v>1060</v>
      </c>
      <c r="G11" s="255" t="s">
        <v>1113</v>
      </c>
    </row>
    <row r="12" spans="1:7" x14ac:dyDescent="0.25">
      <c r="A12" s="596"/>
      <c r="B12" s="597"/>
      <c r="C12" s="202"/>
      <c r="D12" s="255" t="s">
        <v>1063</v>
      </c>
      <c r="E12" s="202"/>
      <c r="F12" s="255" t="s">
        <v>1063</v>
      </c>
      <c r="G12" s="255" t="s">
        <v>1063</v>
      </c>
    </row>
    <row r="13" spans="1:7" x14ac:dyDescent="0.25">
      <c r="A13" s="209">
        <v>1</v>
      </c>
      <c r="B13" s="177">
        <v>2</v>
      </c>
      <c r="C13" s="202">
        <v>3</v>
      </c>
      <c r="D13" s="377">
        <v>4</v>
      </c>
      <c r="E13" s="202">
        <v>5</v>
      </c>
      <c r="F13" s="377">
        <v>6</v>
      </c>
      <c r="G13" s="377" t="s">
        <v>1134</v>
      </c>
    </row>
    <row r="14" spans="1:7" x14ac:dyDescent="0.25">
      <c r="A14" s="378" t="s">
        <v>1017</v>
      </c>
      <c r="B14" s="379"/>
      <c r="C14" s="255">
        <f>SUM(C15:C38)</f>
        <v>1196</v>
      </c>
      <c r="D14" s="255">
        <f t="shared" ref="D14:G14" si="0">SUM(D15:D38)</f>
        <v>1232368</v>
      </c>
      <c r="E14" s="255">
        <f t="shared" si="0"/>
        <v>1168</v>
      </c>
      <c r="F14" s="255">
        <f t="shared" si="0"/>
        <v>715636</v>
      </c>
      <c r="G14" s="255">
        <f t="shared" si="0"/>
        <v>1948004</v>
      </c>
    </row>
    <row r="15" spans="1:7" ht="15" customHeight="1" x14ac:dyDescent="0.25">
      <c r="A15" s="256">
        <v>1</v>
      </c>
      <c r="B15" s="380" t="s">
        <v>1135</v>
      </c>
      <c r="C15" s="381">
        <f>45+23</f>
        <v>68</v>
      </c>
      <c r="D15" s="264">
        <v>60221</v>
      </c>
      <c r="E15" s="382">
        <v>75</v>
      </c>
      <c r="F15" s="382">
        <v>41165</v>
      </c>
      <c r="G15" s="264">
        <f>D15+F15</f>
        <v>101386</v>
      </c>
    </row>
    <row r="16" spans="1:7" ht="15" customHeight="1" x14ac:dyDescent="0.25">
      <c r="A16" s="256">
        <v>2</v>
      </c>
      <c r="B16" s="383" t="s">
        <v>1136</v>
      </c>
      <c r="C16" s="381">
        <v>45</v>
      </c>
      <c r="D16" s="264">
        <v>44351</v>
      </c>
      <c r="E16" s="382">
        <v>46</v>
      </c>
      <c r="F16" s="382">
        <v>29277</v>
      </c>
      <c r="G16" s="264">
        <f>D16+F16</f>
        <v>73628</v>
      </c>
    </row>
    <row r="17" spans="1:7" ht="15" customHeight="1" x14ac:dyDescent="0.25">
      <c r="A17" s="256">
        <v>3</v>
      </c>
      <c r="B17" s="383" t="s">
        <v>1137</v>
      </c>
      <c r="C17" s="381">
        <v>93</v>
      </c>
      <c r="D17" s="264">
        <v>90234</v>
      </c>
      <c r="E17" s="382">
        <v>88</v>
      </c>
      <c r="F17" s="382">
        <v>55819</v>
      </c>
      <c r="G17" s="264">
        <f t="shared" ref="G17:G38" si="1">D17+F17</f>
        <v>146053</v>
      </c>
    </row>
    <row r="18" spans="1:7" ht="15" customHeight="1" x14ac:dyDescent="0.25">
      <c r="A18" s="256">
        <v>4</v>
      </c>
      <c r="B18" s="383" t="s">
        <v>1138</v>
      </c>
      <c r="C18" s="381">
        <v>84</v>
      </c>
      <c r="D18" s="264">
        <v>94635</v>
      </c>
      <c r="E18" s="382">
        <v>108</v>
      </c>
      <c r="F18" s="382">
        <v>65892</v>
      </c>
      <c r="G18" s="264">
        <f t="shared" si="1"/>
        <v>160527</v>
      </c>
    </row>
    <row r="19" spans="1:7" ht="15" customHeight="1" x14ac:dyDescent="0.25">
      <c r="A19" s="256">
        <v>5</v>
      </c>
      <c r="B19" s="383" t="s">
        <v>1139</v>
      </c>
      <c r="C19" s="381">
        <v>43</v>
      </c>
      <c r="D19" s="264">
        <v>44829</v>
      </c>
      <c r="E19" s="382">
        <v>45</v>
      </c>
      <c r="F19" s="382">
        <v>29127</v>
      </c>
      <c r="G19" s="264">
        <f t="shared" si="1"/>
        <v>73956</v>
      </c>
    </row>
    <row r="20" spans="1:7" ht="15" customHeight="1" x14ac:dyDescent="0.25">
      <c r="A20" s="256">
        <v>6</v>
      </c>
      <c r="B20" s="383" t="s">
        <v>1140</v>
      </c>
      <c r="C20" s="381">
        <v>54</v>
      </c>
      <c r="D20" s="264">
        <v>52321</v>
      </c>
      <c r="E20" s="382">
        <v>42</v>
      </c>
      <c r="F20" s="382">
        <v>24088</v>
      </c>
      <c r="G20" s="264">
        <f t="shared" si="1"/>
        <v>76409</v>
      </c>
    </row>
    <row r="21" spans="1:7" ht="15" customHeight="1" x14ac:dyDescent="0.25">
      <c r="A21" s="256">
        <v>7</v>
      </c>
      <c r="B21" s="383" t="s">
        <v>1141</v>
      </c>
      <c r="C21" s="381">
        <v>79</v>
      </c>
      <c r="D21" s="264">
        <v>77836</v>
      </c>
      <c r="E21" s="382">
        <v>79</v>
      </c>
      <c r="F21" s="382">
        <v>48859</v>
      </c>
      <c r="G21" s="264">
        <f t="shared" si="1"/>
        <v>126695</v>
      </c>
    </row>
    <row r="22" spans="1:7" ht="15" customHeight="1" x14ac:dyDescent="0.25">
      <c r="A22" s="256">
        <v>8</v>
      </c>
      <c r="B22" s="383" t="s">
        <v>1142</v>
      </c>
      <c r="C22" s="381">
        <v>45</v>
      </c>
      <c r="D22" s="264">
        <v>46600</v>
      </c>
      <c r="E22" s="382">
        <v>46</v>
      </c>
      <c r="F22" s="382">
        <v>25325</v>
      </c>
      <c r="G22" s="264">
        <f t="shared" si="1"/>
        <v>71925</v>
      </c>
    </row>
    <row r="23" spans="1:7" ht="15" customHeight="1" x14ac:dyDescent="0.25">
      <c r="A23" s="256">
        <v>9</v>
      </c>
      <c r="B23" s="383" t="s">
        <v>1143</v>
      </c>
      <c r="C23" s="381">
        <v>97</v>
      </c>
      <c r="D23" s="264">
        <v>99394</v>
      </c>
      <c r="E23" s="382">
        <v>96</v>
      </c>
      <c r="F23" s="382">
        <v>56162</v>
      </c>
      <c r="G23" s="264">
        <f t="shared" si="1"/>
        <v>155556</v>
      </c>
    </row>
    <row r="24" spans="1:7" ht="15" customHeight="1" x14ac:dyDescent="0.25">
      <c r="A24" s="256">
        <v>10</v>
      </c>
      <c r="B24" s="383" t="s">
        <v>1066</v>
      </c>
      <c r="C24" s="384">
        <v>10</v>
      </c>
      <c r="D24" s="264">
        <v>8856</v>
      </c>
      <c r="E24" s="382"/>
      <c r="F24" s="382">
        <v>1283</v>
      </c>
      <c r="G24" s="264">
        <f t="shared" si="1"/>
        <v>10139</v>
      </c>
    </row>
    <row r="25" spans="1:7" ht="15" customHeight="1" x14ac:dyDescent="0.25">
      <c r="A25" s="256">
        <v>11</v>
      </c>
      <c r="B25" s="383" t="s">
        <v>1144</v>
      </c>
      <c r="C25" s="381">
        <v>37</v>
      </c>
      <c r="D25" s="264">
        <v>36141</v>
      </c>
      <c r="E25" s="382">
        <v>28</v>
      </c>
      <c r="F25" s="382">
        <v>15513</v>
      </c>
      <c r="G25" s="264">
        <f t="shared" si="1"/>
        <v>51654</v>
      </c>
    </row>
    <row r="26" spans="1:7" ht="15" customHeight="1" x14ac:dyDescent="0.25">
      <c r="A26" s="256">
        <v>12</v>
      </c>
      <c r="B26" s="383" t="s">
        <v>1068</v>
      </c>
      <c r="C26" s="381">
        <v>14</v>
      </c>
      <c r="D26" s="264">
        <v>12398</v>
      </c>
      <c r="E26" s="382">
        <v>32</v>
      </c>
      <c r="F26" s="382">
        <v>17662</v>
      </c>
      <c r="G26" s="264">
        <f t="shared" si="1"/>
        <v>30060</v>
      </c>
    </row>
    <row r="27" spans="1:7" ht="27.95" customHeight="1" x14ac:dyDescent="0.25">
      <c r="A27" s="256">
        <v>13</v>
      </c>
      <c r="B27" s="383" t="s">
        <v>1145</v>
      </c>
      <c r="C27" s="381">
        <v>93</v>
      </c>
      <c r="D27" s="264">
        <v>92669</v>
      </c>
      <c r="E27" s="382">
        <v>98</v>
      </c>
      <c r="F27" s="382">
        <v>56362</v>
      </c>
      <c r="G27" s="264">
        <f t="shared" si="1"/>
        <v>149031</v>
      </c>
    </row>
    <row r="28" spans="1:7" ht="15" customHeight="1" x14ac:dyDescent="0.25">
      <c r="A28" s="256">
        <v>14</v>
      </c>
      <c r="B28" s="383" t="s">
        <v>1146</v>
      </c>
      <c r="C28" s="381">
        <v>17</v>
      </c>
      <c r="D28" s="264">
        <v>15055</v>
      </c>
      <c r="E28" s="382"/>
      <c r="F28" s="382">
        <v>2124</v>
      </c>
      <c r="G28" s="264">
        <f t="shared" si="1"/>
        <v>17179</v>
      </c>
    </row>
    <row r="29" spans="1:7" ht="15" customHeight="1" x14ac:dyDescent="0.25">
      <c r="A29" s="256">
        <v>15</v>
      </c>
      <c r="B29" s="383" t="s">
        <v>1071</v>
      </c>
      <c r="C29" s="381"/>
      <c r="D29" s="264"/>
      <c r="E29" s="382">
        <v>12</v>
      </c>
      <c r="F29" s="382">
        <v>6530</v>
      </c>
      <c r="G29" s="264">
        <f t="shared" si="1"/>
        <v>6530</v>
      </c>
    </row>
    <row r="30" spans="1:7" ht="15" customHeight="1" x14ac:dyDescent="0.25">
      <c r="A30" s="256">
        <v>16</v>
      </c>
      <c r="B30" s="383" t="s">
        <v>1147</v>
      </c>
      <c r="C30" s="381">
        <v>17</v>
      </c>
      <c r="D30" s="264">
        <v>17305</v>
      </c>
      <c r="E30" s="382">
        <v>15</v>
      </c>
      <c r="F30" s="382">
        <v>9662</v>
      </c>
      <c r="G30" s="264">
        <f t="shared" si="1"/>
        <v>26967</v>
      </c>
    </row>
    <row r="31" spans="1:7" ht="15" customHeight="1" x14ac:dyDescent="0.25">
      <c r="A31" s="256">
        <v>17</v>
      </c>
      <c r="B31" s="383" t="s">
        <v>1069</v>
      </c>
      <c r="C31" s="381">
        <v>22</v>
      </c>
      <c r="D31" s="264">
        <v>19483</v>
      </c>
      <c r="E31" s="382">
        <v>19</v>
      </c>
      <c r="F31" s="382">
        <v>10786</v>
      </c>
      <c r="G31" s="264">
        <f t="shared" si="1"/>
        <v>30269</v>
      </c>
    </row>
    <row r="32" spans="1:7" ht="15" customHeight="1" x14ac:dyDescent="0.25">
      <c r="A32" s="256">
        <v>18</v>
      </c>
      <c r="B32" s="383" t="s">
        <v>1148</v>
      </c>
      <c r="C32" s="381">
        <v>32</v>
      </c>
      <c r="D32" s="264">
        <v>28339</v>
      </c>
      <c r="E32" s="382">
        <v>32</v>
      </c>
      <c r="F32" s="382">
        <v>15594</v>
      </c>
      <c r="G32" s="264">
        <f t="shared" si="1"/>
        <v>43933</v>
      </c>
    </row>
    <row r="33" spans="1:8" ht="15" customHeight="1" x14ac:dyDescent="0.25">
      <c r="A33" s="256">
        <v>19</v>
      </c>
      <c r="B33" s="383" t="s">
        <v>1149</v>
      </c>
      <c r="C33" s="381">
        <v>64</v>
      </c>
      <c r="D33" s="264">
        <v>56678</v>
      </c>
      <c r="E33" s="382">
        <v>63</v>
      </c>
      <c r="F33" s="382">
        <v>30997</v>
      </c>
      <c r="G33" s="264">
        <f t="shared" si="1"/>
        <v>87675</v>
      </c>
    </row>
    <row r="34" spans="1:8" ht="15" customHeight="1" x14ac:dyDescent="0.25">
      <c r="A34" s="256">
        <v>20</v>
      </c>
      <c r="B34" s="383" t="s">
        <v>1073</v>
      </c>
      <c r="C34" s="381">
        <v>36</v>
      </c>
      <c r="D34" s="264">
        <v>31882</v>
      </c>
      <c r="E34" s="382">
        <v>28</v>
      </c>
      <c r="F34" s="382">
        <v>13551</v>
      </c>
      <c r="G34" s="264">
        <f t="shared" si="1"/>
        <v>45433</v>
      </c>
      <c r="H34" s="385"/>
    </row>
    <row r="35" spans="1:8" ht="15" customHeight="1" x14ac:dyDescent="0.25">
      <c r="A35" s="256">
        <v>21</v>
      </c>
      <c r="B35" s="383" t="s">
        <v>1150</v>
      </c>
      <c r="C35" s="381">
        <v>56</v>
      </c>
      <c r="D35" s="264">
        <v>50718</v>
      </c>
      <c r="E35" s="382">
        <v>47</v>
      </c>
      <c r="F35" s="382">
        <v>27804</v>
      </c>
      <c r="G35" s="264">
        <f t="shared" si="1"/>
        <v>78522</v>
      </c>
    </row>
    <row r="36" spans="1:8" ht="15" customHeight="1" x14ac:dyDescent="0.25">
      <c r="A36" s="256">
        <v>22</v>
      </c>
      <c r="B36" s="383" t="s">
        <v>1151</v>
      </c>
      <c r="C36" s="381">
        <v>27</v>
      </c>
      <c r="D36" s="264">
        <v>23911</v>
      </c>
      <c r="E36" s="382">
        <v>25</v>
      </c>
      <c r="F36" s="382">
        <v>13029</v>
      </c>
      <c r="G36" s="264">
        <f t="shared" si="1"/>
        <v>36940</v>
      </c>
    </row>
    <row r="37" spans="1:8" ht="15" customHeight="1" x14ac:dyDescent="0.25">
      <c r="A37" s="256">
        <v>24</v>
      </c>
      <c r="B37" s="383" t="s">
        <v>1129</v>
      </c>
      <c r="C37" s="381">
        <v>112</v>
      </c>
      <c r="D37" s="264">
        <v>183346</v>
      </c>
      <c r="E37" s="382">
        <v>99</v>
      </c>
      <c r="F37" s="382">
        <v>96359</v>
      </c>
      <c r="G37" s="264">
        <f t="shared" si="1"/>
        <v>279705</v>
      </c>
    </row>
    <row r="38" spans="1:8" ht="15" customHeight="1" x14ac:dyDescent="0.25">
      <c r="A38" s="256">
        <v>25</v>
      </c>
      <c r="B38" s="386" t="s">
        <v>1152</v>
      </c>
      <c r="C38" s="387">
        <v>51</v>
      </c>
      <c r="D38" s="388">
        <v>45166</v>
      </c>
      <c r="E38" s="388">
        <v>45</v>
      </c>
      <c r="F38" s="388">
        <v>22666</v>
      </c>
      <c r="G38" s="388">
        <f t="shared" si="1"/>
        <v>67832</v>
      </c>
    </row>
    <row r="39" spans="1:8" x14ac:dyDescent="0.25">
      <c r="A39" s="240"/>
    </row>
    <row r="40" spans="1:8" x14ac:dyDescent="0.25">
      <c r="A40" s="240"/>
    </row>
    <row r="41" spans="1:8" x14ac:dyDescent="0.25">
      <c r="A41" s="240"/>
    </row>
    <row r="42" spans="1:8" x14ac:dyDescent="0.25">
      <c r="A42" s="240"/>
    </row>
    <row r="43" spans="1:8" x14ac:dyDescent="0.25">
      <c r="A43" s="240"/>
    </row>
    <row r="44" spans="1:8" x14ac:dyDescent="0.25">
      <c r="A44" s="240"/>
    </row>
    <row r="45" spans="1:8" x14ac:dyDescent="0.25">
      <c r="A45" s="240"/>
    </row>
    <row r="46" spans="1:8" x14ac:dyDescent="0.25">
      <c r="A46" s="240"/>
    </row>
    <row r="47" spans="1:8" x14ac:dyDescent="0.25">
      <c r="A47" s="240"/>
    </row>
    <row r="48" spans="1:8" x14ac:dyDescent="0.25">
      <c r="A48" s="240"/>
    </row>
    <row r="49" spans="1:1" x14ac:dyDescent="0.25">
      <c r="A49" s="240"/>
    </row>
    <row r="50" spans="1:1" x14ac:dyDescent="0.25">
      <c r="A50" s="240"/>
    </row>
    <row r="51" spans="1:1" x14ac:dyDescent="0.25">
      <c r="A51" s="240"/>
    </row>
    <row r="52" spans="1:1" x14ac:dyDescent="0.25">
      <c r="A52" s="240"/>
    </row>
    <row r="53" spans="1:1" x14ac:dyDescent="0.25">
      <c r="A53" s="240"/>
    </row>
    <row r="54" spans="1:1" x14ac:dyDescent="0.25">
      <c r="A54" s="240"/>
    </row>
    <row r="55" spans="1:1" x14ac:dyDescent="0.25">
      <c r="A55" s="240"/>
    </row>
    <row r="56" spans="1:1" x14ac:dyDescent="0.25">
      <c r="A56" s="240"/>
    </row>
    <row r="57" spans="1:1" x14ac:dyDescent="0.25">
      <c r="A57" s="240"/>
    </row>
    <row r="58" spans="1:1" x14ac:dyDescent="0.25">
      <c r="A58" s="240"/>
    </row>
    <row r="59" spans="1:1" x14ac:dyDescent="0.25">
      <c r="A59" s="240"/>
    </row>
    <row r="60" spans="1:1" x14ac:dyDescent="0.25">
      <c r="A60" s="240"/>
    </row>
    <row r="61" spans="1:1" x14ac:dyDescent="0.25">
      <c r="A61" s="240"/>
    </row>
    <row r="62" spans="1:1" x14ac:dyDescent="0.25">
      <c r="A62" s="240"/>
    </row>
    <row r="63" spans="1:1" x14ac:dyDescent="0.25">
      <c r="A63" s="240"/>
    </row>
    <row r="64" spans="1:1" x14ac:dyDescent="0.25">
      <c r="A64" s="240"/>
    </row>
    <row r="65" spans="1:1" x14ac:dyDescent="0.25">
      <c r="A65" s="240"/>
    </row>
    <row r="66" spans="1:1" x14ac:dyDescent="0.25">
      <c r="A66" s="240"/>
    </row>
    <row r="67" spans="1:1" x14ac:dyDescent="0.25">
      <c r="A67" s="240"/>
    </row>
    <row r="68" spans="1:1" x14ac:dyDescent="0.25">
      <c r="A68" s="240"/>
    </row>
    <row r="69" spans="1:1" x14ac:dyDescent="0.25">
      <c r="A69" s="240"/>
    </row>
    <row r="70" spans="1:1" x14ac:dyDescent="0.25">
      <c r="A70" s="240"/>
    </row>
    <row r="71" spans="1:1" x14ac:dyDescent="0.25">
      <c r="A71" s="240"/>
    </row>
    <row r="72" spans="1:1" x14ac:dyDescent="0.25">
      <c r="A72" s="240"/>
    </row>
    <row r="73" spans="1:1" x14ac:dyDescent="0.25">
      <c r="A73" s="240"/>
    </row>
    <row r="74" spans="1:1" x14ac:dyDescent="0.25">
      <c r="A74" s="240"/>
    </row>
    <row r="75" spans="1:1" x14ac:dyDescent="0.25">
      <c r="A75" s="240"/>
    </row>
    <row r="76" spans="1:1" x14ac:dyDescent="0.25">
      <c r="A76" s="240"/>
    </row>
    <row r="77" spans="1:1" x14ac:dyDescent="0.25">
      <c r="A77" s="240"/>
    </row>
    <row r="78" spans="1:1" x14ac:dyDescent="0.25">
      <c r="A78" s="240"/>
    </row>
    <row r="79" spans="1:1" x14ac:dyDescent="0.25">
      <c r="A79" s="240"/>
    </row>
    <row r="80" spans="1:1" x14ac:dyDescent="0.25">
      <c r="A80" s="240"/>
    </row>
    <row r="81" spans="1:1" x14ac:dyDescent="0.25">
      <c r="A81" s="240"/>
    </row>
    <row r="82" spans="1:1" x14ac:dyDescent="0.25">
      <c r="A82" s="240"/>
    </row>
    <row r="83" spans="1:1" x14ac:dyDescent="0.25">
      <c r="A83" s="240"/>
    </row>
    <row r="84" spans="1:1" x14ac:dyDescent="0.25">
      <c r="A84" s="240"/>
    </row>
    <row r="85" spans="1:1" x14ac:dyDescent="0.25">
      <c r="A85" s="240"/>
    </row>
    <row r="86" spans="1:1" x14ac:dyDescent="0.25">
      <c r="A86" s="240"/>
    </row>
    <row r="87" spans="1:1" x14ac:dyDescent="0.25">
      <c r="A87" s="240"/>
    </row>
    <row r="88" spans="1:1" x14ac:dyDescent="0.25">
      <c r="A88" s="240"/>
    </row>
    <row r="89" spans="1:1" x14ac:dyDescent="0.25">
      <c r="A89" s="240"/>
    </row>
    <row r="90" spans="1:1" x14ac:dyDescent="0.25">
      <c r="A90" s="240"/>
    </row>
    <row r="91" spans="1:1" x14ac:dyDescent="0.25">
      <c r="A91" s="240"/>
    </row>
    <row r="92" spans="1:1" x14ac:dyDescent="0.25">
      <c r="A92" s="240"/>
    </row>
    <row r="93" spans="1:1" x14ac:dyDescent="0.25">
      <c r="A93" s="240"/>
    </row>
    <row r="94" spans="1:1" x14ac:dyDescent="0.25">
      <c r="A94" s="240"/>
    </row>
    <row r="95" spans="1:1" x14ac:dyDescent="0.25">
      <c r="A95" s="240"/>
    </row>
    <row r="96" spans="1:1" x14ac:dyDescent="0.25">
      <c r="A96" s="240"/>
    </row>
    <row r="97" spans="1:1" x14ac:dyDescent="0.25">
      <c r="A97" s="240"/>
    </row>
    <row r="98" spans="1:1" x14ac:dyDescent="0.25">
      <c r="A98" s="240"/>
    </row>
    <row r="99" spans="1:1" x14ac:dyDescent="0.25">
      <c r="A99" s="240"/>
    </row>
    <row r="100" spans="1:1" x14ac:dyDescent="0.25">
      <c r="A100" s="240"/>
    </row>
    <row r="101" spans="1:1" x14ac:dyDescent="0.25">
      <c r="A101" s="240"/>
    </row>
    <row r="102" spans="1:1" x14ac:dyDescent="0.25">
      <c r="A102" s="240"/>
    </row>
    <row r="103" spans="1:1" x14ac:dyDescent="0.25">
      <c r="A103" s="240"/>
    </row>
    <row r="104" spans="1:1" x14ac:dyDescent="0.25">
      <c r="A104" s="240"/>
    </row>
    <row r="105" spans="1:1" x14ac:dyDescent="0.25">
      <c r="A105" s="240"/>
    </row>
    <row r="106" spans="1:1" x14ac:dyDescent="0.25">
      <c r="A106" s="240"/>
    </row>
    <row r="107" spans="1:1" x14ac:dyDescent="0.25">
      <c r="A107" s="240"/>
    </row>
    <row r="108" spans="1:1" x14ac:dyDescent="0.25">
      <c r="A108" s="240"/>
    </row>
    <row r="109" spans="1:1" x14ac:dyDescent="0.25">
      <c r="A109" s="240"/>
    </row>
    <row r="110" spans="1:1" x14ac:dyDescent="0.25">
      <c r="A110" s="240"/>
    </row>
    <row r="111" spans="1:1" x14ac:dyDescent="0.25">
      <c r="A111" s="240"/>
    </row>
    <row r="112" spans="1:1" x14ac:dyDescent="0.25">
      <c r="A112" s="240"/>
    </row>
    <row r="113" spans="1:1" x14ac:dyDescent="0.25">
      <c r="A113" s="240"/>
    </row>
    <row r="114" spans="1:1" x14ac:dyDescent="0.25">
      <c r="A114" s="240"/>
    </row>
    <row r="115" spans="1:1" x14ac:dyDescent="0.25">
      <c r="A115" s="240"/>
    </row>
  </sheetData>
  <mergeCells count="5">
    <mergeCell ref="B5:G5"/>
    <mergeCell ref="B6:G6"/>
    <mergeCell ref="B7:G7"/>
    <mergeCell ref="A9:A12"/>
    <mergeCell ref="B9:B12"/>
  </mergeCells>
  <pageMargins left="0.78740157480314965" right="0.78740157480314965" top="1.1811023622047245" bottom="1.1811023622047245" header="0" footer="0"/>
  <pageSetup paperSize="9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F5E77-7A4B-400F-ABE9-E00A55DF8BD1}">
  <sheetPr>
    <pageSetUpPr fitToPage="1"/>
  </sheetPr>
  <dimension ref="A1:I129"/>
  <sheetViews>
    <sheetView workbookViewId="0">
      <pane ySplit="13" topLeftCell="A110" activePane="bottomLeft" state="frozen"/>
      <selection pane="bottomLeft" sqref="A1:I113"/>
    </sheetView>
  </sheetViews>
  <sheetFormatPr defaultRowHeight="12.75" x14ac:dyDescent="0.2"/>
  <cols>
    <col min="1" max="1" width="6.28515625" style="145" customWidth="1"/>
    <col min="2" max="2" width="32.5703125" style="389" customWidth="1"/>
    <col min="3" max="3" width="9.85546875" style="389" bestFit="1" customWidth="1"/>
    <col min="4" max="4" width="14.5703125" style="389" customWidth="1"/>
    <col min="5" max="5" width="13" style="389" customWidth="1"/>
    <col min="6" max="6" width="13.5703125" style="389" customWidth="1"/>
    <col min="7" max="7" width="10.28515625" style="389" bestFit="1" customWidth="1"/>
    <col min="8" max="8" width="14.5703125" style="389" customWidth="1"/>
    <col min="9" max="9" width="16.5703125" style="145" customWidth="1"/>
    <col min="10" max="10" width="12.7109375" style="145" customWidth="1"/>
    <col min="11" max="16384" width="9.140625" style="145"/>
  </cols>
  <sheetData>
    <row r="1" spans="1:9" ht="14.25" customHeight="1" x14ac:dyDescent="0.2">
      <c r="I1" s="1" t="s">
        <v>1153</v>
      </c>
    </row>
    <row r="2" spans="1:9" ht="14.25" customHeight="1" x14ac:dyDescent="0.2">
      <c r="I2" s="1" t="s">
        <v>1176</v>
      </c>
    </row>
    <row r="3" spans="1:9" s="240" customFormat="1" ht="14.25" customHeight="1" x14ac:dyDescent="0.2">
      <c r="B3" s="390"/>
      <c r="C3" s="390"/>
      <c r="D3" s="390"/>
      <c r="E3" s="390"/>
      <c r="F3" s="390"/>
      <c r="G3" s="390"/>
      <c r="I3" s="239" t="s">
        <v>395</v>
      </c>
    </row>
    <row r="4" spans="1:9" s="240" customFormat="1" ht="14.25" customHeight="1" x14ac:dyDescent="0.2">
      <c r="B4" s="390"/>
      <c r="C4" s="390"/>
      <c r="D4" s="390"/>
      <c r="E4" s="390"/>
      <c r="F4" s="390"/>
      <c r="G4" s="390"/>
      <c r="H4" s="390"/>
      <c r="I4" s="1" t="s">
        <v>279</v>
      </c>
    </row>
    <row r="5" spans="1:9" s="240" customFormat="1" ht="15" x14ac:dyDescent="0.25">
      <c r="A5" s="598" t="s">
        <v>1154</v>
      </c>
      <c r="B5" s="598"/>
      <c r="C5" s="598"/>
      <c r="D5" s="598"/>
      <c r="E5" s="598"/>
      <c r="F5" s="598"/>
      <c r="G5" s="598"/>
      <c r="H5" s="598"/>
    </row>
    <row r="6" spans="1:9" s="240" customFormat="1" ht="15" x14ac:dyDescent="0.25">
      <c r="A6" s="598" t="s">
        <v>1155</v>
      </c>
      <c r="B6" s="598"/>
      <c r="C6" s="598"/>
      <c r="D6" s="598"/>
      <c r="E6" s="598"/>
      <c r="F6" s="598"/>
      <c r="G6" s="598"/>
      <c r="H6" s="598"/>
    </row>
    <row r="7" spans="1:9" s="240" customFormat="1" ht="12" x14ac:dyDescent="0.2">
      <c r="A7" s="242"/>
      <c r="B7" s="391"/>
      <c r="C7" s="391"/>
      <c r="D7" s="391"/>
      <c r="E7" s="391"/>
      <c r="F7" s="391"/>
      <c r="G7" s="391"/>
      <c r="H7" s="391"/>
    </row>
    <row r="8" spans="1:9" s="240" customFormat="1" ht="41.25" customHeight="1" x14ac:dyDescent="0.2">
      <c r="A8" s="580" t="s">
        <v>1050</v>
      </c>
      <c r="B8" s="599" t="s">
        <v>1051</v>
      </c>
      <c r="C8" s="392" t="s">
        <v>1053</v>
      </c>
      <c r="D8" s="393" t="s">
        <v>1052</v>
      </c>
      <c r="E8" s="393" t="s">
        <v>1156</v>
      </c>
      <c r="F8" s="393" t="s">
        <v>1157</v>
      </c>
      <c r="G8" s="392" t="s">
        <v>1053</v>
      </c>
      <c r="H8" s="393" t="s">
        <v>1052</v>
      </c>
      <c r="I8" s="244" t="s">
        <v>1052</v>
      </c>
    </row>
    <row r="9" spans="1:9" s="240" customFormat="1" ht="24" x14ac:dyDescent="0.2">
      <c r="A9" s="581"/>
      <c r="B9" s="600"/>
      <c r="C9" s="246" t="s">
        <v>1057</v>
      </c>
      <c r="D9" s="394" t="s">
        <v>1158</v>
      </c>
      <c r="E9" s="394" t="s">
        <v>1159</v>
      </c>
      <c r="F9" s="394" t="s">
        <v>1160</v>
      </c>
      <c r="G9" s="246" t="s">
        <v>1057</v>
      </c>
      <c r="H9" s="394" t="s">
        <v>1161</v>
      </c>
      <c r="I9" s="247" t="s">
        <v>1158</v>
      </c>
    </row>
    <row r="10" spans="1:9" s="240" customFormat="1" ht="12" x14ac:dyDescent="0.2">
      <c r="A10" s="581"/>
      <c r="B10" s="600"/>
      <c r="C10" s="395">
        <v>44805</v>
      </c>
      <c r="D10" s="396" t="s">
        <v>1162</v>
      </c>
      <c r="E10" s="394" t="s">
        <v>1163</v>
      </c>
      <c r="F10" s="394"/>
      <c r="G10" s="395" t="s">
        <v>1064</v>
      </c>
      <c r="H10" s="396" t="s">
        <v>1164</v>
      </c>
      <c r="I10" s="247" t="s">
        <v>1165</v>
      </c>
    </row>
    <row r="11" spans="1:9" s="240" customFormat="1" ht="12" x14ac:dyDescent="0.2">
      <c r="A11" s="581"/>
      <c r="B11" s="600"/>
      <c r="C11" s="246"/>
      <c r="D11" s="396" t="s">
        <v>1166</v>
      </c>
      <c r="E11" s="396"/>
      <c r="F11" s="396"/>
      <c r="G11" s="246"/>
      <c r="H11" s="396" t="s">
        <v>1167</v>
      </c>
      <c r="I11" s="247"/>
    </row>
    <row r="12" spans="1:9" s="240" customFormat="1" ht="12" x14ac:dyDescent="0.2">
      <c r="A12" s="397"/>
      <c r="B12" s="251"/>
      <c r="C12" s="251"/>
      <c r="D12" s="398" t="s">
        <v>1063</v>
      </c>
      <c r="E12" s="398" t="s">
        <v>1063</v>
      </c>
      <c r="F12" s="398" t="s">
        <v>1063</v>
      </c>
      <c r="G12" s="251"/>
      <c r="H12" s="398" t="s">
        <v>1063</v>
      </c>
      <c r="I12" s="252" t="s">
        <v>1063</v>
      </c>
    </row>
    <row r="13" spans="1:9" s="404" customFormat="1" ht="15.75" customHeight="1" x14ac:dyDescent="0.25">
      <c r="A13" s="399" t="s">
        <v>1017</v>
      </c>
      <c r="B13" s="400"/>
      <c r="C13" s="401">
        <f>C14+C19+C24+C29+C34+C39+C44+C49+C54+C59+C64+C69+C74+C79+C84+C89+C94+C99+C104+C109</f>
        <v>2434</v>
      </c>
      <c r="D13" s="402">
        <f>D14+D19+D24+D29+D34+D39+D44+D49+D54+D59+D64+D69+D74+D79+D84+D89+D94+D99+D104+D109</f>
        <v>242440.47000000003</v>
      </c>
      <c r="E13" s="402">
        <f t="shared" ref="E13:H13" si="0">E14+E19+E24+E29+E34+E39+E44+E49+E54+E59+E64+E69+E74+E79+E84+E89+E94+E99+E104+E109</f>
        <v>21716</v>
      </c>
      <c r="F13" s="402">
        <f t="shared" si="0"/>
        <v>2616.7400000000002</v>
      </c>
      <c r="G13" s="402">
        <f t="shared" si="0"/>
        <v>2447</v>
      </c>
      <c r="H13" s="402">
        <f t="shared" si="0"/>
        <v>259213</v>
      </c>
      <c r="I13" s="403">
        <f>D13+H13</f>
        <v>501653.47000000003</v>
      </c>
    </row>
    <row r="14" spans="1:9" s="410" customFormat="1" x14ac:dyDescent="0.2">
      <c r="A14" s="405">
        <v>1</v>
      </c>
      <c r="B14" s="406" t="s">
        <v>1086</v>
      </c>
      <c r="C14" s="407">
        <v>369</v>
      </c>
      <c r="D14" s="408">
        <v>36712.324999999997</v>
      </c>
      <c r="E14" s="409"/>
      <c r="F14" s="409">
        <v>396.69</v>
      </c>
      <c r="G14" s="408">
        <v>397</v>
      </c>
      <c r="H14" s="408">
        <v>45605</v>
      </c>
      <c r="I14" s="408">
        <f t="shared" ref="I14:I77" si="1">D14+H14</f>
        <v>82317.324999999997</v>
      </c>
    </row>
    <row r="15" spans="1:9" s="240" customFormat="1" x14ac:dyDescent="0.2">
      <c r="A15" s="332"/>
      <c r="B15" s="411" t="s">
        <v>1168</v>
      </c>
      <c r="C15" s="412">
        <v>107</v>
      </c>
      <c r="D15" s="413">
        <v>10237.225</v>
      </c>
      <c r="E15" s="414"/>
      <c r="F15" s="414">
        <v>115.03</v>
      </c>
      <c r="G15" s="413">
        <v>108</v>
      </c>
      <c r="H15" s="413">
        <v>12399</v>
      </c>
      <c r="I15" s="415">
        <f t="shared" si="1"/>
        <v>22636.224999999999</v>
      </c>
    </row>
    <row r="16" spans="1:9" s="240" customFormat="1" x14ac:dyDescent="0.2">
      <c r="A16" s="332"/>
      <c r="B16" s="416" t="s">
        <v>1169</v>
      </c>
      <c r="C16" s="417">
        <v>91</v>
      </c>
      <c r="D16" s="418">
        <v>9195.5499999999993</v>
      </c>
      <c r="E16" s="414"/>
      <c r="F16" s="414">
        <v>97.83</v>
      </c>
      <c r="G16" s="418">
        <v>104</v>
      </c>
      <c r="H16" s="418">
        <v>11953</v>
      </c>
      <c r="I16" s="419">
        <f t="shared" si="1"/>
        <v>21148.55</v>
      </c>
    </row>
    <row r="17" spans="1:9" s="240" customFormat="1" x14ac:dyDescent="0.2">
      <c r="A17" s="332"/>
      <c r="B17" s="416" t="s">
        <v>1170</v>
      </c>
      <c r="C17" s="417">
        <v>92</v>
      </c>
      <c r="D17" s="418">
        <v>9296.6</v>
      </c>
      <c r="E17" s="414"/>
      <c r="F17" s="414">
        <v>98.9</v>
      </c>
      <c r="G17" s="418">
        <v>89</v>
      </c>
      <c r="H17" s="418">
        <v>10214</v>
      </c>
      <c r="I17" s="419">
        <f t="shared" si="1"/>
        <v>19510.599999999999</v>
      </c>
    </row>
    <row r="18" spans="1:9" s="240" customFormat="1" x14ac:dyDescent="0.2">
      <c r="A18" s="279"/>
      <c r="B18" s="420" t="s">
        <v>1171</v>
      </c>
      <c r="C18" s="417">
        <v>79</v>
      </c>
      <c r="D18" s="421">
        <v>7982.95</v>
      </c>
      <c r="E18" s="422"/>
      <c r="F18" s="422">
        <v>84.93</v>
      </c>
      <c r="G18" s="421">
        <v>96</v>
      </c>
      <c r="H18" s="421">
        <v>11039</v>
      </c>
      <c r="I18" s="423">
        <f t="shared" si="1"/>
        <v>19021.95</v>
      </c>
    </row>
    <row r="19" spans="1:9" s="240" customFormat="1" x14ac:dyDescent="0.2">
      <c r="A19" s="405">
        <v>2</v>
      </c>
      <c r="B19" s="406" t="s">
        <v>1085</v>
      </c>
      <c r="C19" s="407">
        <v>415</v>
      </c>
      <c r="D19" s="408">
        <v>41355.25</v>
      </c>
      <c r="E19" s="409">
        <v>21716</v>
      </c>
      <c r="F19" s="409">
        <v>446.13</v>
      </c>
      <c r="G19" s="408">
        <v>417</v>
      </c>
      <c r="H19" s="408">
        <v>26158</v>
      </c>
      <c r="I19" s="408">
        <f t="shared" si="1"/>
        <v>67513.25</v>
      </c>
    </row>
    <row r="20" spans="1:9" s="240" customFormat="1" x14ac:dyDescent="0.2">
      <c r="A20" s="332"/>
      <c r="B20" s="411" t="s">
        <v>1168</v>
      </c>
      <c r="C20" s="413">
        <v>108</v>
      </c>
      <c r="D20" s="413">
        <v>10332.9</v>
      </c>
      <c r="E20" s="424">
        <v>5729</v>
      </c>
      <c r="F20" s="424">
        <v>116.1</v>
      </c>
      <c r="G20" s="413">
        <v>110</v>
      </c>
      <c r="H20" s="413">
        <v>6902</v>
      </c>
      <c r="I20" s="415">
        <f t="shared" si="1"/>
        <v>17234.900000000001</v>
      </c>
    </row>
    <row r="21" spans="1:9" s="240" customFormat="1" x14ac:dyDescent="0.2">
      <c r="A21" s="332"/>
      <c r="B21" s="416" t="s">
        <v>1169</v>
      </c>
      <c r="C21" s="418">
        <v>98</v>
      </c>
      <c r="D21" s="418">
        <v>9902.9</v>
      </c>
      <c r="E21" s="424">
        <v>5676</v>
      </c>
      <c r="F21" s="424">
        <v>105.35</v>
      </c>
      <c r="G21" s="418">
        <v>109</v>
      </c>
      <c r="H21" s="418">
        <v>6849</v>
      </c>
      <c r="I21" s="419">
        <f t="shared" si="1"/>
        <v>16751.900000000001</v>
      </c>
    </row>
    <row r="22" spans="1:9" s="240" customFormat="1" x14ac:dyDescent="0.2">
      <c r="A22" s="332"/>
      <c r="B22" s="416" t="s">
        <v>1170</v>
      </c>
      <c r="C22" s="418">
        <v>97</v>
      </c>
      <c r="D22" s="418">
        <v>9801.85</v>
      </c>
      <c r="E22" s="424">
        <v>5520</v>
      </c>
      <c r="F22" s="424">
        <v>104.28</v>
      </c>
      <c r="G22" s="418">
        <v>106</v>
      </c>
      <c r="H22" s="418">
        <v>6658</v>
      </c>
      <c r="I22" s="419">
        <f t="shared" si="1"/>
        <v>16459.849999999999</v>
      </c>
    </row>
    <row r="23" spans="1:9" s="240" customFormat="1" x14ac:dyDescent="0.2">
      <c r="A23" s="279"/>
      <c r="B23" s="420" t="s">
        <v>1171</v>
      </c>
      <c r="C23" s="418">
        <v>112</v>
      </c>
      <c r="D23" s="421">
        <v>11317.6</v>
      </c>
      <c r="E23" s="425">
        <v>4791</v>
      </c>
      <c r="F23" s="425">
        <v>120.4</v>
      </c>
      <c r="G23" s="421">
        <v>92</v>
      </c>
      <c r="H23" s="421">
        <v>5749</v>
      </c>
      <c r="I23" s="423">
        <f t="shared" si="1"/>
        <v>17066.599999999999</v>
      </c>
    </row>
    <row r="24" spans="1:9" s="240" customFormat="1" x14ac:dyDescent="0.2">
      <c r="A24" s="405">
        <v>3</v>
      </c>
      <c r="B24" s="406" t="s">
        <v>1066</v>
      </c>
      <c r="C24" s="407">
        <v>12</v>
      </c>
      <c r="D24" s="408">
        <v>1180.3499999999999</v>
      </c>
      <c r="E24" s="426"/>
      <c r="F24" s="426"/>
      <c r="G24" s="408">
        <v>0</v>
      </c>
      <c r="H24" s="408">
        <v>0</v>
      </c>
      <c r="I24" s="408">
        <f t="shared" si="1"/>
        <v>1180.3499999999999</v>
      </c>
    </row>
    <row r="25" spans="1:9" s="240" customFormat="1" x14ac:dyDescent="0.2">
      <c r="A25" s="332"/>
      <c r="B25" s="411" t="s">
        <v>1168</v>
      </c>
      <c r="C25" s="413">
        <v>6</v>
      </c>
      <c r="D25" s="413">
        <v>574.04999999999995</v>
      </c>
      <c r="E25" s="411"/>
      <c r="F25" s="411"/>
      <c r="G25" s="413">
        <v>0</v>
      </c>
      <c r="H25" s="413">
        <v>0</v>
      </c>
      <c r="I25" s="415">
        <f t="shared" si="1"/>
        <v>574.04999999999995</v>
      </c>
    </row>
    <row r="26" spans="1:9" s="240" customFormat="1" x14ac:dyDescent="0.2">
      <c r="A26" s="332"/>
      <c r="B26" s="416" t="s">
        <v>1169</v>
      </c>
      <c r="C26" s="418">
        <v>3</v>
      </c>
      <c r="D26" s="418">
        <v>303.14999999999998</v>
      </c>
      <c r="E26" s="416"/>
      <c r="F26" s="416"/>
      <c r="G26" s="418">
        <v>0</v>
      </c>
      <c r="H26" s="418">
        <v>0</v>
      </c>
      <c r="I26" s="419">
        <f t="shared" si="1"/>
        <v>303.14999999999998</v>
      </c>
    </row>
    <row r="27" spans="1:9" s="240" customFormat="1" x14ac:dyDescent="0.2">
      <c r="A27" s="332"/>
      <c r="B27" s="416" t="s">
        <v>1170</v>
      </c>
      <c r="C27" s="418">
        <v>2</v>
      </c>
      <c r="D27" s="418">
        <v>202.1</v>
      </c>
      <c r="E27" s="416"/>
      <c r="F27" s="416"/>
      <c r="G27" s="418">
        <v>0</v>
      </c>
      <c r="H27" s="418">
        <v>0</v>
      </c>
      <c r="I27" s="419">
        <f t="shared" si="1"/>
        <v>202.1</v>
      </c>
    </row>
    <row r="28" spans="1:9" s="240" customFormat="1" x14ac:dyDescent="0.2">
      <c r="A28" s="279"/>
      <c r="B28" s="420" t="s">
        <v>1171</v>
      </c>
      <c r="C28" s="418">
        <v>1</v>
      </c>
      <c r="D28" s="421">
        <v>101.05</v>
      </c>
      <c r="E28" s="427"/>
      <c r="F28" s="427"/>
      <c r="G28" s="421">
        <v>0</v>
      </c>
      <c r="H28" s="421">
        <v>0</v>
      </c>
      <c r="I28" s="423">
        <f t="shared" si="1"/>
        <v>101.05</v>
      </c>
    </row>
    <row r="29" spans="1:9" s="240" customFormat="1" ht="24" customHeight="1" x14ac:dyDescent="0.2">
      <c r="A29" s="405">
        <v>4</v>
      </c>
      <c r="B29" s="406" t="s">
        <v>1070</v>
      </c>
      <c r="C29" s="407">
        <v>37</v>
      </c>
      <c r="D29" s="408">
        <v>3701.2249999999999</v>
      </c>
      <c r="E29" s="426"/>
      <c r="F29" s="409">
        <v>39.79</v>
      </c>
      <c r="G29" s="408">
        <v>41</v>
      </c>
      <c r="H29" s="408">
        <v>4711</v>
      </c>
      <c r="I29" s="408">
        <f t="shared" si="1"/>
        <v>8412.2250000000004</v>
      </c>
    </row>
    <row r="30" spans="1:9" s="240" customFormat="1" x14ac:dyDescent="0.2">
      <c r="A30" s="332"/>
      <c r="B30" s="411" t="s">
        <v>1168</v>
      </c>
      <c r="C30" s="413">
        <v>7</v>
      </c>
      <c r="D30" s="413">
        <v>669.72500000000002</v>
      </c>
      <c r="E30" s="411"/>
      <c r="F30" s="414">
        <v>7.53</v>
      </c>
      <c r="G30" s="413">
        <v>9</v>
      </c>
      <c r="H30" s="413">
        <v>1035</v>
      </c>
      <c r="I30" s="415">
        <f t="shared" si="1"/>
        <v>1704.7249999999999</v>
      </c>
    </row>
    <row r="31" spans="1:9" s="240" customFormat="1" x14ac:dyDescent="0.2">
      <c r="A31" s="332"/>
      <c r="B31" s="416" t="s">
        <v>1169</v>
      </c>
      <c r="C31" s="418">
        <v>7</v>
      </c>
      <c r="D31" s="418">
        <v>707.35</v>
      </c>
      <c r="E31" s="416"/>
      <c r="F31" s="414">
        <v>7.53</v>
      </c>
      <c r="G31" s="418">
        <v>9</v>
      </c>
      <c r="H31" s="418">
        <v>1035</v>
      </c>
      <c r="I31" s="419">
        <f t="shared" si="1"/>
        <v>1742.35</v>
      </c>
    </row>
    <row r="32" spans="1:9" s="240" customFormat="1" x14ac:dyDescent="0.2">
      <c r="A32" s="332"/>
      <c r="B32" s="416" t="s">
        <v>1170</v>
      </c>
      <c r="C32" s="418">
        <v>14</v>
      </c>
      <c r="D32" s="418">
        <v>1414.7</v>
      </c>
      <c r="E32" s="416"/>
      <c r="F32" s="414">
        <v>15.05</v>
      </c>
      <c r="G32" s="418">
        <v>9</v>
      </c>
      <c r="H32" s="418">
        <v>1028</v>
      </c>
      <c r="I32" s="419">
        <f t="shared" si="1"/>
        <v>2442.6999999999998</v>
      </c>
    </row>
    <row r="33" spans="1:9" s="240" customFormat="1" x14ac:dyDescent="0.2">
      <c r="A33" s="279"/>
      <c r="B33" s="420" t="s">
        <v>1171</v>
      </c>
      <c r="C33" s="418">
        <v>9</v>
      </c>
      <c r="D33" s="423">
        <v>909.44999999999993</v>
      </c>
      <c r="E33" s="427"/>
      <c r="F33" s="422">
        <v>9.68</v>
      </c>
      <c r="G33" s="423">
        <v>14</v>
      </c>
      <c r="H33" s="423">
        <v>1613</v>
      </c>
      <c r="I33" s="423">
        <f t="shared" si="1"/>
        <v>2522.4499999999998</v>
      </c>
    </row>
    <row r="34" spans="1:9" s="240" customFormat="1" x14ac:dyDescent="0.2">
      <c r="A34" s="405">
        <v>5</v>
      </c>
      <c r="B34" s="406" t="s">
        <v>1071</v>
      </c>
      <c r="C34" s="407">
        <v>37</v>
      </c>
      <c r="D34" s="408">
        <v>3701.2249999999999</v>
      </c>
      <c r="E34" s="426"/>
      <c r="F34" s="409">
        <v>39.79</v>
      </c>
      <c r="G34" s="408">
        <v>33</v>
      </c>
      <c r="H34" s="408">
        <v>3784</v>
      </c>
      <c r="I34" s="408">
        <f t="shared" si="1"/>
        <v>7485.2250000000004</v>
      </c>
    </row>
    <row r="35" spans="1:9" s="240" customFormat="1" x14ac:dyDescent="0.2">
      <c r="A35" s="332"/>
      <c r="B35" s="411" t="s">
        <v>1168</v>
      </c>
      <c r="C35" s="413">
        <v>7</v>
      </c>
      <c r="D35" s="413">
        <v>669.72500000000002</v>
      </c>
      <c r="E35" s="411"/>
      <c r="F35" s="414">
        <v>7.53</v>
      </c>
      <c r="G35" s="413">
        <v>10</v>
      </c>
      <c r="H35" s="413">
        <v>1151</v>
      </c>
      <c r="I35" s="415">
        <f t="shared" si="1"/>
        <v>1820.7249999999999</v>
      </c>
    </row>
    <row r="36" spans="1:9" s="240" customFormat="1" x14ac:dyDescent="0.2">
      <c r="A36" s="332"/>
      <c r="B36" s="416" t="s">
        <v>1169</v>
      </c>
      <c r="C36" s="418">
        <v>7</v>
      </c>
      <c r="D36" s="418">
        <v>707.35</v>
      </c>
      <c r="E36" s="416"/>
      <c r="F36" s="414">
        <v>7.53</v>
      </c>
      <c r="G36" s="418">
        <v>6</v>
      </c>
      <c r="H36" s="418">
        <v>688</v>
      </c>
      <c r="I36" s="419">
        <f t="shared" si="1"/>
        <v>1395.35</v>
      </c>
    </row>
    <row r="37" spans="1:9" s="240" customFormat="1" x14ac:dyDescent="0.2">
      <c r="A37" s="332"/>
      <c r="B37" s="416" t="s">
        <v>1170</v>
      </c>
      <c r="C37" s="418">
        <v>11</v>
      </c>
      <c r="D37" s="418">
        <v>1111.55</v>
      </c>
      <c r="E37" s="416"/>
      <c r="F37" s="414">
        <v>11.83</v>
      </c>
      <c r="G37" s="418">
        <v>6</v>
      </c>
      <c r="H37" s="418">
        <v>683</v>
      </c>
      <c r="I37" s="419">
        <f t="shared" si="1"/>
        <v>1794.55</v>
      </c>
    </row>
    <row r="38" spans="1:9" s="240" customFormat="1" x14ac:dyDescent="0.2">
      <c r="A38" s="279"/>
      <c r="B38" s="420" t="s">
        <v>1171</v>
      </c>
      <c r="C38" s="418">
        <v>12</v>
      </c>
      <c r="D38" s="421">
        <v>1212.5999999999999</v>
      </c>
      <c r="E38" s="427"/>
      <c r="F38" s="422">
        <v>12.9</v>
      </c>
      <c r="G38" s="421">
        <v>11</v>
      </c>
      <c r="H38" s="421">
        <v>1262</v>
      </c>
      <c r="I38" s="423">
        <f t="shared" si="1"/>
        <v>2474.6</v>
      </c>
    </row>
    <row r="39" spans="1:9" s="240" customFormat="1" x14ac:dyDescent="0.2">
      <c r="A39" s="405">
        <v>6</v>
      </c>
      <c r="B39" s="406" t="s">
        <v>1069</v>
      </c>
      <c r="C39" s="407">
        <v>47</v>
      </c>
      <c r="D39" s="408">
        <v>4657.9750000000004</v>
      </c>
      <c r="E39" s="426"/>
      <c r="F39" s="409">
        <v>50.53</v>
      </c>
      <c r="G39" s="408">
        <v>45</v>
      </c>
      <c r="H39" s="408">
        <v>5164</v>
      </c>
      <c r="I39" s="408">
        <f t="shared" si="1"/>
        <v>9821.9750000000004</v>
      </c>
    </row>
    <row r="40" spans="1:9" s="240" customFormat="1" x14ac:dyDescent="0.2">
      <c r="A40" s="332"/>
      <c r="B40" s="411" t="s">
        <v>1168</v>
      </c>
      <c r="C40" s="413">
        <v>17</v>
      </c>
      <c r="D40" s="413">
        <v>1626.4749999999999</v>
      </c>
      <c r="E40" s="411"/>
      <c r="F40" s="414">
        <v>18.28</v>
      </c>
      <c r="G40" s="413">
        <v>8</v>
      </c>
      <c r="H40" s="413">
        <v>909</v>
      </c>
      <c r="I40" s="415">
        <f t="shared" si="1"/>
        <v>2535.4749999999999</v>
      </c>
    </row>
    <row r="41" spans="1:9" s="240" customFormat="1" x14ac:dyDescent="0.2">
      <c r="A41" s="332"/>
      <c r="B41" s="416" t="s">
        <v>1169</v>
      </c>
      <c r="C41" s="418">
        <v>12</v>
      </c>
      <c r="D41" s="418">
        <v>1212.5999999999999</v>
      </c>
      <c r="E41" s="416"/>
      <c r="F41" s="414">
        <v>12.9</v>
      </c>
      <c r="G41" s="418">
        <v>17</v>
      </c>
      <c r="H41" s="418">
        <v>1957</v>
      </c>
      <c r="I41" s="419">
        <f t="shared" si="1"/>
        <v>3169.6</v>
      </c>
    </row>
    <row r="42" spans="1:9" s="240" customFormat="1" x14ac:dyDescent="0.2">
      <c r="A42" s="332"/>
      <c r="B42" s="416" t="s">
        <v>1170</v>
      </c>
      <c r="C42" s="418">
        <v>8</v>
      </c>
      <c r="D42" s="418">
        <v>808.4</v>
      </c>
      <c r="E42" s="416"/>
      <c r="F42" s="414">
        <v>8.6</v>
      </c>
      <c r="G42" s="418">
        <v>11</v>
      </c>
      <c r="H42" s="418">
        <v>1266</v>
      </c>
      <c r="I42" s="419">
        <f t="shared" si="1"/>
        <v>2074.4</v>
      </c>
    </row>
    <row r="43" spans="1:9" s="240" customFormat="1" x14ac:dyDescent="0.2">
      <c r="A43" s="279"/>
      <c r="B43" s="420" t="s">
        <v>1171</v>
      </c>
      <c r="C43" s="418">
        <v>10</v>
      </c>
      <c r="D43" s="421">
        <v>1010.5</v>
      </c>
      <c r="E43" s="427"/>
      <c r="F43" s="422">
        <v>10.75</v>
      </c>
      <c r="G43" s="421">
        <v>9</v>
      </c>
      <c r="H43" s="421">
        <v>1032</v>
      </c>
      <c r="I43" s="423">
        <f t="shared" si="1"/>
        <v>2042.5</v>
      </c>
    </row>
    <row r="44" spans="1:9" s="240" customFormat="1" x14ac:dyDescent="0.2">
      <c r="A44" s="405">
        <v>7</v>
      </c>
      <c r="B44" s="406" t="s">
        <v>1148</v>
      </c>
      <c r="C44" s="407">
        <v>44</v>
      </c>
      <c r="D44" s="408">
        <v>4376.3249999999998</v>
      </c>
      <c r="E44" s="426"/>
      <c r="F44" s="409">
        <v>47.31</v>
      </c>
      <c r="G44" s="408">
        <v>43</v>
      </c>
      <c r="H44" s="408">
        <v>4936</v>
      </c>
      <c r="I44" s="408">
        <f t="shared" si="1"/>
        <v>9312.3250000000007</v>
      </c>
    </row>
    <row r="45" spans="1:9" s="240" customFormat="1" x14ac:dyDescent="0.2">
      <c r="A45" s="332"/>
      <c r="B45" s="411" t="s">
        <v>1168</v>
      </c>
      <c r="C45" s="413">
        <v>13</v>
      </c>
      <c r="D45" s="413">
        <v>1243.7749999999999</v>
      </c>
      <c r="E45" s="411"/>
      <c r="F45" s="414">
        <v>13.98</v>
      </c>
      <c r="G45" s="413">
        <v>8</v>
      </c>
      <c r="H45" s="413">
        <v>913</v>
      </c>
      <c r="I45" s="415">
        <f t="shared" si="1"/>
        <v>2156.7749999999996</v>
      </c>
    </row>
    <row r="46" spans="1:9" s="240" customFormat="1" x14ac:dyDescent="0.2">
      <c r="A46" s="332"/>
      <c r="B46" s="416" t="s">
        <v>1169</v>
      </c>
      <c r="C46" s="418">
        <v>12</v>
      </c>
      <c r="D46" s="418">
        <v>1212.5999999999999</v>
      </c>
      <c r="E46" s="416"/>
      <c r="F46" s="414">
        <v>12.9</v>
      </c>
      <c r="G46" s="418">
        <v>11</v>
      </c>
      <c r="H46" s="418">
        <v>1262</v>
      </c>
      <c r="I46" s="419">
        <f t="shared" si="1"/>
        <v>2474.6</v>
      </c>
    </row>
    <row r="47" spans="1:9" s="240" customFormat="1" x14ac:dyDescent="0.2">
      <c r="A47" s="332"/>
      <c r="B47" s="416" t="s">
        <v>1170</v>
      </c>
      <c r="C47" s="418">
        <v>10</v>
      </c>
      <c r="D47" s="418">
        <v>1010.5</v>
      </c>
      <c r="E47" s="416"/>
      <c r="F47" s="414">
        <v>10.75</v>
      </c>
      <c r="G47" s="418">
        <v>13</v>
      </c>
      <c r="H47" s="418">
        <v>1496</v>
      </c>
      <c r="I47" s="419">
        <f t="shared" si="1"/>
        <v>2506.5</v>
      </c>
    </row>
    <row r="48" spans="1:9" s="240" customFormat="1" x14ac:dyDescent="0.2">
      <c r="A48" s="279"/>
      <c r="B48" s="420" t="s">
        <v>1171</v>
      </c>
      <c r="C48" s="418">
        <v>9</v>
      </c>
      <c r="D48" s="421">
        <v>909.44999999999993</v>
      </c>
      <c r="E48" s="427"/>
      <c r="F48" s="422">
        <v>9.68</v>
      </c>
      <c r="G48" s="421">
        <v>11</v>
      </c>
      <c r="H48" s="421">
        <v>1265</v>
      </c>
      <c r="I48" s="423">
        <f t="shared" si="1"/>
        <v>2174.4499999999998</v>
      </c>
    </row>
    <row r="49" spans="1:9" s="240" customFormat="1" x14ac:dyDescent="0.2">
      <c r="A49" s="405">
        <v>8</v>
      </c>
      <c r="B49" s="406" t="s">
        <v>1072</v>
      </c>
      <c r="C49" s="407">
        <v>129</v>
      </c>
      <c r="D49" s="408">
        <v>12868.824999999997</v>
      </c>
      <c r="E49" s="426"/>
      <c r="F49" s="409">
        <v>138.69</v>
      </c>
      <c r="G49" s="408">
        <v>141</v>
      </c>
      <c r="H49" s="408">
        <v>16199</v>
      </c>
      <c r="I49" s="408">
        <f t="shared" si="1"/>
        <v>29067.824999999997</v>
      </c>
    </row>
    <row r="50" spans="1:9" s="240" customFormat="1" x14ac:dyDescent="0.2">
      <c r="A50" s="332"/>
      <c r="B50" s="411" t="s">
        <v>1168</v>
      </c>
      <c r="C50" s="413">
        <v>31</v>
      </c>
      <c r="D50" s="413">
        <v>2965.9249999999997</v>
      </c>
      <c r="E50" s="411"/>
      <c r="F50" s="414">
        <v>33.33</v>
      </c>
      <c r="G50" s="413">
        <v>43</v>
      </c>
      <c r="H50" s="413">
        <v>4949</v>
      </c>
      <c r="I50" s="415">
        <f t="shared" si="1"/>
        <v>7914.9249999999993</v>
      </c>
    </row>
    <row r="51" spans="1:9" s="240" customFormat="1" x14ac:dyDescent="0.2">
      <c r="A51" s="332"/>
      <c r="B51" s="416" t="s">
        <v>1169</v>
      </c>
      <c r="C51" s="418">
        <v>33</v>
      </c>
      <c r="D51" s="418">
        <v>3334.6499999999996</v>
      </c>
      <c r="E51" s="416"/>
      <c r="F51" s="414">
        <v>35.479999999999997</v>
      </c>
      <c r="G51" s="418">
        <v>31</v>
      </c>
      <c r="H51" s="418">
        <v>3557</v>
      </c>
      <c r="I51" s="419">
        <f t="shared" si="1"/>
        <v>6891.65</v>
      </c>
    </row>
    <row r="52" spans="1:9" s="240" customFormat="1" x14ac:dyDescent="0.2">
      <c r="A52" s="332"/>
      <c r="B52" s="416" t="s">
        <v>1170</v>
      </c>
      <c r="C52" s="418">
        <v>31</v>
      </c>
      <c r="D52" s="418">
        <v>3132.5499999999997</v>
      </c>
      <c r="E52" s="416"/>
      <c r="F52" s="414">
        <v>33.33</v>
      </c>
      <c r="G52" s="418">
        <v>34</v>
      </c>
      <c r="H52" s="418">
        <v>3906</v>
      </c>
      <c r="I52" s="419">
        <f t="shared" si="1"/>
        <v>7038.5499999999993</v>
      </c>
    </row>
    <row r="53" spans="1:9" s="240" customFormat="1" x14ac:dyDescent="0.2">
      <c r="A53" s="279"/>
      <c r="B53" s="420" t="s">
        <v>1171</v>
      </c>
      <c r="C53" s="418">
        <v>34</v>
      </c>
      <c r="D53" s="421">
        <v>3435.7</v>
      </c>
      <c r="E53" s="427"/>
      <c r="F53" s="422">
        <v>36.549999999999997</v>
      </c>
      <c r="G53" s="421">
        <v>33</v>
      </c>
      <c r="H53" s="421">
        <v>3787</v>
      </c>
      <c r="I53" s="423">
        <f t="shared" si="1"/>
        <v>7222.7</v>
      </c>
    </row>
    <row r="54" spans="1:9" s="240" customFormat="1" x14ac:dyDescent="0.2">
      <c r="A54" s="405">
        <v>9</v>
      </c>
      <c r="B54" s="406" t="s">
        <v>1073</v>
      </c>
      <c r="C54" s="407">
        <v>47</v>
      </c>
      <c r="D54" s="408">
        <v>4684.8500000000004</v>
      </c>
      <c r="E54" s="426"/>
      <c r="F54" s="409">
        <v>50.54</v>
      </c>
      <c r="G54" s="408">
        <v>48</v>
      </c>
      <c r="H54" s="408">
        <v>5512</v>
      </c>
      <c r="I54" s="408">
        <f t="shared" si="1"/>
        <v>10196.85</v>
      </c>
    </row>
    <row r="55" spans="1:9" s="240" customFormat="1" x14ac:dyDescent="0.2">
      <c r="A55" s="332"/>
      <c r="B55" s="411" t="s">
        <v>1168</v>
      </c>
      <c r="C55" s="413">
        <v>12</v>
      </c>
      <c r="D55" s="413">
        <v>1148.0999999999999</v>
      </c>
      <c r="E55" s="411"/>
      <c r="F55" s="414">
        <v>12.9</v>
      </c>
      <c r="G55" s="413">
        <v>16</v>
      </c>
      <c r="H55" s="413">
        <v>1841</v>
      </c>
      <c r="I55" s="415">
        <f t="shared" si="1"/>
        <v>2989.1</v>
      </c>
    </row>
    <row r="56" spans="1:9" s="240" customFormat="1" x14ac:dyDescent="0.2">
      <c r="A56" s="332"/>
      <c r="B56" s="416" t="s">
        <v>1169</v>
      </c>
      <c r="C56" s="418">
        <v>13</v>
      </c>
      <c r="D56" s="418">
        <v>1313.6499999999999</v>
      </c>
      <c r="E56" s="416"/>
      <c r="F56" s="414">
        <v>13.98</v>
      </c>
      <c r="G56" s="418">
        <v>11</v>
      </c>
      <c r="H56" s="418">
        <v>1261</v>
      </c>
      <c r="I56" s="419">
        <f t="shared" si="1"/>
        <v>2574.6499999999996</v>
      </c>
    </row>
    <row r="57" spans="1:9" s="240" customFormat="1" x14ac:dyDescent="0.2">
      <c r="A57" s="332"/>
      <c r="B57" s="416" t="s">
        <v>1170</v>
      </c>
      <c r="C57" s="418">
        <v>11</v>
      </c>
      <c r="D57" s="418">
        <v>1111.55</v>
      </c>
      <c r="E57" s="416"/>
      <c r="F57" s="414">
        <v>11.83</v>
      </c>
      <c r="G57" s="418">
        <v>12</v>
      </c>
      <c r="H57" s="418">
        <v>1379</v>
      </c>
      <c r="I57" s="419">
        <f t="shared" si="1"/>
        <v>2490.5500000000002</v>
      </c>
    </row>
    <row r="58" spans="1:9" s="240" customFormat="1" x14ac:dyDescent="0.2">
      <c r="A58" s="279"/>
      <c r="B58" s="420" t="s">
        <v>1171</v>
      </c>
      <c r="C58" s="418">
        <v>11</v>
      </c>
      <c r="D58" s="418">
        <v>1111.55</v>
      </c>
      <c r="E58" s="427"/>
      <c r="F58" s="422">
        <v>11.83</v>
      </c>
      <c r="G58" s="418">
        <v>9</v>
      </c>
      <c r="H58" s="418">
        <v>1031</v>
      </c>
      <c r="I58" s="419">
        <f t="shared" si="1"/>
        <v>2142.5500000000002</v>
      </c>
    </row>
    <row r="59" spans="1:9" s="240" customFormat="1" x14ac:dyDescent="0.2">
      <c r="A59" s="405">
        <v>10</v>
      </c>
      <c r="B59" s="406" t="s">
        <v>1068</v>
      </c>
      <c r="C59" s="407">
        <v>44</v>
      </c>
      <c r="D59" s="407">
        <v>4403.2</v>
      </c>
      <c r="E59" s="406"/>
      <c r="F59" s="409">
        <v>60.21</v>
      </c>
      <c r="G59" s="407">
        <v>44</v>
      </c>
      <c r="H59" s="407">
        <v>5038</v>
      </c>
      <c r="I59" s="408">
        <f t="shared" si="1"/>
        <v>9441.2000000000007</v>
      </c>
    </row>
    <row r="60" spans="1:9" s="240" customFormat="1" x14ac:dyDescent="0.2">
      <c r="A60" s="332"/>
      <c r="B60" s="411" t="s">
        <v>1168</v>
      </c>
      <c r="C60" s="413">
        <v>8</v>
      </c>
      <c r="D60" s="413">
        <v>765.4</v>
      </c>
      <c r="E60" s="411"/>
      <c r="F60" s="414">
        <v>15.05</v>
      </c>
      <c r="G60" s="413">
        <v>9</v>
      </c>
      <c r="H60" s="413">
        <v>1028</v>
      </c>
      <c r="I60" s="415">
        <f t="shared" si="1"/>
        <v>1793.4</v>
      </c>
    </row>
    <row r="61" spans="1:9" s="240" customFormat="1" x14ac:dyDescent="0.2">
      <c r="A61" s="332"/>
      <c r="B61" s="416" t="s">
        <v>1169</v>
      </c>
      <c r="C61" s="418">
        <v>14</v>
      </c>
      <c r="D61" s="418">
        <v>1414.7</v>
      </c>
      <c r="E61" s="416"/>
      <c r="F61" s="414">
        <v>18.28</v>
      </c>
      <c r="G61" s="418">
        <v>11</v>
      </c>
      <c r="H61" s="418">
        <v>1256</v>
      </c>
      <c r="I61" s="419">
        <f t="shared" si="1"/>
        <v>2670.7</v>
      </c>
    </row>
    <row r="62" spans="1:9" s="240" customFormat="1" x14ac:dyDescent="0.2">
      <c r="A62" s="332"/>
      <c r="B62" s="416" t="s">
        <v>1170</v>
      </c>
      <c r="C62" s="418">
        <v>6</v>
      </c>
      <c r="D62" s="418">
        <v>606.29999999999995</v>
      </c>
      <c r="E62" s="416"/>
      <c r="F62" s="414">
        <v>8.6</v>
      </c>
      <c r="G62" s="418">
        <v>17</v>
      </c>
      <c r="H62" s="418">
        <v>1961</v>
      </c>
      <c r="I62" s="419">
        <f t="shared" si="1"/>
        <v>2567.3000000000002</v>
      </c>
    </row>
    <row r="63" spans="1:9" s="240" customFormat="1" x14ac:dyDescent="0.2">
      <c r="A63" s="279"/>
      <c r="B63" s="420" t="s">
        <v>1171</v>
      </c>
      <c r="C63" s="418">
        <v>16</v>
      </c>
      <c r="D63" s="418">
        <v>1616.8</v>
      </c>
      <c r="E63" s="427"/>
      <c r="F63" s="422">
        <v>18.28</v>
      </c>
      <c r="G63" s="418">
        <v>7</v>
      </c>
      <c r="H63" s="418">
        <v>793</v>
      </c>
      <c r="I63" s="419">
        <f t="shared" si="1"/>
        <v>2409.8000000000002</v>
      </c>
    </row>
    <row r="64" spans="1:9" s="240" customFormat="1" ht="25.5" x14ac:dyDescent="0.2">
      <c r="A64" s="405">
        <v>11</v>
      </c>
      <c r="B64" s="406" t="s">
        <v>1172</v>
      </c>
      <c r="C64" s="407">
        <v>49</v>
      </c>
      <c r="D64" s="407">
        <v>4892.3249999999998</v>
      </c>
      <c r="E64" s="406"/>
      <c r="F64" s="409">
        <v>52.680000000000007</v>
      </c>
      <c r="G64" s="407">
        <v>51</v>
      </c>
      <c r="H64" s="407">
        <v>5857</v>
      </c>
      <c r="I64" s="408">
        <f t="shared" si="1"/>
        <v>10749.325000000001</v>
      </c>
    </row>
    <row r="65" spans="1:9" s="240" customFormat="1" x14ac:dyDescent="0.2">
      <c r="A65" s="332"/>
      <c r="B65" s="411" t="s">
        <v>1168</v>
      </c>
      <c r="C65" s="413">
        <v>11</v>
      </c>
      <c r="D65" s="413">
        <v>1052.425</v>
      </c>
      <c r="E65" s="411"/>
      <c r="F65" s="414">
        <v>11.83</v>
      </c>
      <c r="G65" s="413">
        <v>15</v>
      </c>
      <c r="H65" s="413">
        <v>1726</v>
      </c>
      <c r="I65" s="415">
        <f t="shared" si="1"/>
        <v>2778.4250000000002</v>
      </c>
    </row>
    <row r="66" spans="1:9" s="240" customFormat="1" x14ac:dyDescent="0.2">
      <c r="A66" s="332"/>
      <c r="B66" s="416" t="s">
        <v>1169</v>
      </c>
      <c r="C66" s="418">
        <v>12</v>
      </c>
      <c r="D66" s="418">
        <v>1212.5999999999999</v>
      </c>
      <c r="E66" s="416"/>
      <c r="F66" s="414">
        <v>12.9</v>
      </c>
      <c r="G66" s="418">
        <v>11</v>
      </c>
      <c r="H66" s="418">
        <v>1262</v>
      </c>
      <c r="I66" s="419">
        <f t="shared" si="1"/>
        <v>2474.6</v>
      </c>
    </row>
    <row r="67" spans="1:9" s="240" customFormat="1" x14ac:dyDescent="0.2">
      <c r="A67" s="332"/>
      <c r="B67" s="416" t="s">
        <v>1170</v>
      </c>
      <c r="C67" s="418">
        <v>12</v>
      </c>
      <c r="D67" s="418">
        <v>1212.5999999999999</v>
      </c>
      <c r="E67" s="416"/>
      <c r="F67" s="414">
        <v>12.9</v>
      </c>
      <c r="G67" s="418">
        <v>11</v>
      </c>
      <c r="H67" s="418">
        <v>1262</v>
      </c>
      <c r="I67" s="419">
        <f t="shared" si="1"/>
        <v>2474.6</v>
      </c>
    </row>
    <row r="68" spans="1:9" s="240" customFormat="1" x14ac:dyDescent="0.2">
      <c r="A68" s="279"/>
      <c r="B68" s="420" t="s">
        <v>1171</v>
      </c>
      <c r="C68" s="418">
        <v>14</v>
      </c>
      <c r="D68" s="428">
        <v>1414.7</v>
      </c>
      <c r="E68" s="427"/>
      <c r="F68" s="422">
        <v>15.05</v>
      </c>
      <c r="G68" s="428">
        <v>14</v>
      </c>
      <c r="H68" s="428">
        <v>1607</v>
      </c>
      <c r="I68" s="429">
        <f t="shared" si="1"/>
        <v>3021.7</v>
      </c>
    </row>
    <row r="69" spans="1:9" s="240" customFormat="1" x14ac:dyDescent="0.2">
      <c r="A69" s="405">
        <v>12</v>
      </c>
      <c r="B69" s="406" t="s">
        <v>1079</v>
      </c>
      <c r="C69" s="407">
        <v>90</v>
      </c>
      <c r="D69" s="430">
        <v>8981.625</v>
      </c>
      <c r="E69" s="406"/>
      <c r="F69" s="409">
        <v>96.759999999999991</v>
      </c>
      <c r="G69" s="430">
        <v>82</v>
      </c>
      <c r="H69" s="430">
        <v>9405</v>
      </c>
      <c r="I69" s="431">
        <f t="shared" si="1"/>
        <v>18386.625</v>
      </c>
    </row>
    <row r="70" spans="1:9" s="240" customFormat="1" x14ac:dyDescent="0.2">
      <c r="A70" s="332"/>
      <c r="B70" s="411" t="s">
        <v>1168</v>
      </c>
      <c r="C70" s="413">
        <v>21</v>
      </c>
      <c r="D70" s="413">
        <v>2009.175</v>
      </c>
      <c r="E70" s="411"/>
      <c r="F70" s="414">
        <v>22.58</v>
      </c>
      <c r="G70" s="413">
        <v>20</v>
      </c>
      <c r="H70" s="413">
        <v>2295</v>
      </c>
      <c r="I70" s="415">
        <f t="shared" si="1"/>
        <v>4304.1750000000002</v>
      </c>
    </row>
    <row r="71" spans="1:9" s="240" customFormat="1" x14ac:dyDescent="0.2">
      <c r="A71" s="332"/>
      <c r="B71" s="416" t="s">
        <v>1169</v>
      </c>
      <c r="C71" s="418">
        <v>22</v>
      </c>
      <c r="D71" s="418">
        <v>2223.1</v>
      </c>
      <c r="E71" s="416"/>
      <c r="F71" s="414">
        <v>23.65</v>
      </c>
      <c r="G71" s="418">
        <v>20</v>
      </c>
      <c r="H71" s="418">
        <v>2294</v>
      </c>
      <c r="I71" s="419">
        <f t="shared" si="1"/>
        <v>4517.1000000000004</v>
      </c>
    </row>
    <row r="72" spans="1:9" s="240" customFormat="1" x14ac:dyDescent="0.2">
      <c r="A72" s="332"/>
      <c r="B72" s="416" t="s">
        <v>1170</v>
      </c>
      <c r="C72" s="418">
        <v>22</v>
      </c>
      <c r="D72" s="418">
        <v>2223.1</v>
      </c>
      <c r="E72" s="416"/>
      <c r="F72" s="414">
        <v>23.65</v>
      </c>
      <c r="G72" s="418">
        <v>19</v>
      </c>
      <c r="H72" s="418">
        <v>2178</v>
      </c>
      <c r="I72" s="419">
        <f t="shared" si="1"/>
        <v>4401.1000000000004</v>
      </c>
    </row>
    <row r="73" spans="1:9" s="240" customFormat="1" x14ac:dyDescent="0.2">
      <c r="A73" s="279"/>
      <c r="B73" s="420" t="s">
        <v>1171</v>
      </c>
      <c r="C73" s="418">
        <v>25</v>
      </c>
      <c r="D73" s="418">
        <v>2526.25</v>
      </c>
      <c r="E73" s="427"/>
      <c r="F73" s="422">
        <v>26.88</v>
      </c>
      <c r="G73" s="418">
        <v>23</v>
      </c>
      <c r="H73" s="418">
        <v>2638</v>
      </c>
      <c r="I73" s="419">
        <f t="shared" si="1"/>
        <v>5164.25</v>
      </c>
    </row>
    <row r="74" spans="1:9" s="240" customFormat="1" x14ac:dyDescent="0.2">
      <c r="A74" s="405">
        <v>13</v>
      </c>
      <c r="B74" s="406" t="s">
        <v>1081</v>
      </c>
      <c r="C74" s="407">
        <v>115</v>
      </c>
      <c r="D74" s="407">
        <v>11416.499999999998</v>
      </c>
      <c r="E74" s="406"/>
      <c r="F74" s="409">
        <v>123.63</v>
      </c>
      <c r="G74" s="407">
        <v>134</v>
      </c>
      <c r="H74" s="407">
        <v>15404</v>
      </c>
      <c r="I74" s="408">
        <f t="shared" si="1"/>
        <v>26820.5</v>
      </c>
    </row>
    <row r="75" spans="1:9" s="240" customFormat="1" x14ac:dyDescent="0.2">
      <c r="A75" s="332"/>
      <c r="B75" s="411" t="s">
        <v>1168</v>
      </c>
      <c r="C75" s="413">
        <v>38</v>
      </c>
      <c r="D75" s="413">
        <v>3635.6499999999996</v>
      </c>
      <c r="E75" s="411"/>
      <c r="F75" s="414">
        <v>40.85</v>
      </c>
      <c r="G75" s="413">
        <v>39</v>
      </c>
      <c r="H75" s="413">
        <v>4478</v>
      </c>
      <c r="I75" s="415">
        <f t="shared" si="1"/>
        <v>8113.65</v>
      </c>
    </row>
    <row r="76" spans="1:9" s="240" customFormat="1" x14ac:dyDescent="0.2">
      <c r="A76" s="332"/>
      <c r="B76" s="416" t="s">
        <v>1169</v>
      </c>
      <c r="C76" s="418">
        <v>31</v>
      </c>
      <c r="D76" s="418">
        <v>3132.5499999999997</v>
      </c>
      <c r="E76" s="416"/>
      <c r="F76" s="414">
        <v>33.33</v>
      </c>
      <c r="G76" s="418">
        <v>33</v>
      </c>
      <c r="H76" s="418">
        <v>3791</v>
      </c>
      <c r="I76" s="419">
        <f t="shared" si="1"/>
        <v>6923.5499999999993</v>
      </c>
    </row>
    <row r="77" spans="1:9" s="240" customFormat="1" x14ac:dyDescent="0.2">
      <c r="A77" s="332"/>
      <c r="B77" s="416" t="s">
        <v>1170</v>
      </c>
      <c r="C77" s="418">
        <v>28</v>
      </c>
      <c r="D77" s="418">
        <v>2829.4</v>
      </c>
      <c r="E77" s="416"/>
      <c r="F77" s="414">
        <v>30.1</v>
      </c>
      <c r="G77" s="418">
        <v>32</v>
      </c>
      <c r="H77" s="418">
        <v>3678</v>
      </c>
      <c r="I77" s="419">
        <f t="shared" si="1"/>
        <v>6507.4</v>
      </c>
    </row>
    <row r="78" spans="1:9" s="240" customFormat="1" x14ac:dyDescent="0.2">
      <c r="A78" s="279"/>
      <c r="B78" s="420" t="s">
        <v>1171</v>
      </c>
      <c r="C78" s="418">
        <v>18</v>
      </c>
      <c r="D78" s="418">
        <v>1818.8999999999999</v>
      </c>
      <c r="E78" s="427"/>
      <c r="F78" s="422">
        <v>19.350000000000001</v>
      </c>
      <c r="G78" s="418">
        <v>30</v>
      </c>
      <c r="H78" s="418">
        <v>3457</v>
      </c>
      <c r="I78" s="419">
        <f t="shared" ref="I78:I113" si="2">D78+H78</f>
        <v>5275.9</v>
      </c>
    </row>
    <row r="79" spans="1:9" s="240" customFormat="1" x14ac:dyDescent="0.2">
      <c r="A79" s="405">
        <v>14</v>
      </c>
      <c r="B79" s="406" t="s">
        <v>1084</v>
      </c>
      <c r="C79" s="407">
        <v>182</v>
      </c>
      <c r="D79" s="407">
        <v>18111.599999999999</v>
      </c>
      <c r="E79" s="406"/>
      <c r="F79" s="409">
        <v>195.65</v>
      </c>
      <c r="G79" s="407">
        <v>192</v>
      </c>
      <c r="H79" s="407">
        <v>22053</v>
      </c>
      <c r="I79" s="408">
        <f t="shared" si="2"/>
        <v>40164.6</v>
      </c>
    </row>
    <row r="80" spans="1:9" s="240" customFormat="1" x14ac:dyDescent="0.2">
      <c r="A80" s="332"/>
      <c r="B80" s="411" t="s">
        <v>1168</v>
      </c>
      <c r="C80" s="413">
        <v>52</v>
      </c>
      <c r="D80" s="413">
        <v>4975.0999999999995</v>
      </c>
      <c r="E80" s="411"/>
      <c r="F80" s="414">
        <v>55.9</v>
      </c>
      <c r="G80" s="413">
        <v>48</v>
      </c>
      <c r="H80" s="413">
        <v>5506</v>
      </c>
      <c r="I80" s="415">
        <f t="shared" si="2"/>
        <v>10481.099999999999</v>
      </c>
    </row>
    <row r="81" spans="1:9" s="240" customFormat="1" x14ac:dyDescent="0.2">
      <c r="A81" s="332"/>
      <c r="B81" s="416" t="s">
        <v>1169</v>
      </c>
      <c r="C81" s="418">
        <v>40</v>
      </c>
      <c r="D81" s="418">
        <v>4042</v>
      </c>
      <c r="E81" s="416"/>
      <c r="F81" s="414">
        <v>43</v>
      </c>
      <c r="G81" s="418">
        <v>52</v>
      </c>
      <c r="H81" s="418">
        <v>5983</v>
      </c>
      <c r="I81" s="419">
        <f t="shared" si="2"/>
        <v>10025</v>
      </c>
    </row>
    <row r="82" spans="1:9" s="240" customFormat="1" x14ac:dyDescent="0.2">
      <c r="A82" s="332"/>
      <c r="B82" s="416" t="s">
        <v>1170</v>
      </c>
      <c r="C82" s="418">
        <v>48</v>
      </c>
      <c r="D82" s="418">
        <v>4850.3999999999996</v>
      </c>
      <c r="E82" s="416"/>
      <c r="F82" s="414">
        <v>51.6</v>
      </c>
      <c r="G82" s="418">
        <v>43</v>
      </c>
      <c r="H82" s="418">
        <v>4931</v>
      </c>
      <c r="I82" s="419">
        <f t="shared" si="2"/>
        <v>9781.4</v>
      </c>
    </row>
    <row r="83" spans="1:9" s="240" customFormat="1" x14ac:dyDescent="0.2">
      <c r="A83" s="279"/>
      <c r="B83" s="420" t="s">
        <v>1171</v>
      </c>
      <c r="C83" s="418">
        <v>42</v>
      </c>
      <c r="D83" s="418">
        <v>4244.0999999999995</v>
      </c>
      <c r="E83" s="427"/>
      <c r="F83" s="422">
        <v>45.15</v>
      </c>
      <c r="G83" s="418">
        <v>49</v>
      </c>
      <c r="H83" s="418">
        <v>5633</v>
      </c>
      <c r="I83" s="419">
        <f t="shared" si="2"/>
        <v>9877.0999999999985</v>
      </c>
    </row>
    <row r="84" spans="1:9" s="240" customFormat="1" x14ac:dyDescent="0.2">
      <c r="A84" s="405">
        <v>15</v>
      </c>
      <c r="B84" s="406" t="s">
        <v>1082</v>
      </c>
      <c r="C84" s="407">
        <v>325</v>
      </c>
      <c r="D84" s="407">
        <v>32405.875</v>
      </c>
      <c r="E84" s="406"/>
      <c r="F84" s="409">
        <v>349.39</v>
      </c>
      <c r="G84" s="407">
        <v>315</v>
      </c>
      <c r="H84" s="407">
        <v>36150</v>
      </c>
      <c r="I84" s="408">
        <f t="shared" si="2"/>
        <v>68555.875</v>
      </c>
    </row>
    <row r="85" spans="1:9" s="240" customFormat="1" x14ac:dyDescent="0.2">
      <c r="A85" s="332"/>
      <c r="B85" s="411" t="s">
        <v>1168</v>
      </c>
      <c r="C85" s="413">
        <v>81</v>
      </c>
      <c r="D85" s="413">
        <v>7749.6750000000002</v>
      </c>
      <c r="E85" s="411"/>
      <c r="F85" s="414">
        <v>87.08</v>
      </c>
      <c r="G85" s="413">
        <v>85</v>
      </c>
      <c r="H85" s="413">
        <v>9762</v>
      </c>
      <c r="I85" s="415">
        <f t="shared" si="2"/>
        <v>17511.674999999999</v>
      </c>
    </row>
    <row r="86" spans="1:9" s="240" customFormat="1" x14ac:dyDescent="0.2">
      <c r="A86" s="332"/>
      <c r="B86" s="416" t="s">
        <v>1169</v>
      </c>
      <c r="C86" s="418">
        <v>76</v>
      </c>
      <c r="D86" s="418">
        <v>7679.8</v>
      </c>
      <c r="E86" s="416"/>
      <c r="F86" s="414">
        <v>81.7</v>
      </c>
      <c r="G86" s="418">
        <v>80</v>
      </c>
      <c r="H86" s="418">
        <v>9188</v>
      </c>
      <c r="I86" s="419">
        <f t="shared" si="2"/>
        <v>16867.8</v>
      </c>
    </row>
    <row r="87" spans="1:9" s="240" customFormat="1" x14ac:dyDescent="0.2">
      <c r="A87" s="332"/>
      <c r="B87" s="416" t="s">
        <v>1170</v>
      </c>
      <c r="C87" s="418">
        <v>81</v>
      </c>
      <c r="D87" s="418">
        <v>8185.05</v>
      </c>
      <c r="E87" s="416"/>
      <c r="F87" s="414">
        <v>87.08</v>
      </c>
      <c r="G87" s="418">
        <v>70</v>
      </c>
      <c r="H87" s="418">
        <v>8024</v>
      </c>
      <c r="I87" s="419">
        <f t="shared" si="2"/>
        <v>16209.05</v>
      </c>
    </row>
    <row r="88" spans="1:9" s="240" customFormat="1" x14ac:dyDescent="0.2">
      <c r="A88" s="279"/>
      <c r="B88" s="420" t="s">
        <v>1171</v>
      </c>
      <c r="C88" s="418">
        <v>87</v>
      </c>
      <c r="D88" s="418">
        <v>8791.35</v>
      </c>
      <c r="E88" s="427"/>
      <c r="F88" s="422">
        <v>93.53</v>
      </c>
      <c r="G88" s="418">
        <v>80</v>
      </c>
      <c r="H88" s="418">
        <v>9176</v>
      </c>
      <c r="I88" s="419">
        <f t="shared" si="2"/>
        <v>17967.349999999999</v>
      </c>
    </row>
    <row r="89" spans="1:9" s="240" customFormat="1" x14ac:dyDescent="0.2">
      <c r="A89" s="405">
        <v>16</v>
      </c>
      <c r="B89" s="406" t="s">
        <v>1173</v>
      </c>
      <c r="C89" s="407">
        <v>100</v>
      </c>
      <c r="D89" s="407">
        <v>9970.625</v>
      </c>
      <c r="E89" s="406"/>
      <c r="F89" s="409">
        <v>107.50999999999999</v>
      </c>
      <c r="G89" s="407">
        <v>103</v>
      </c>
      <c r="H89" s="407">
        <v>11827</v>
      </c>
      <c r="I89" s="408">
        <f t="shared" si="2"/>
        <v>21797.625</v>
      </c>
    </row>
    <row r="90" spans="1:9" s="240" customFormat="1" x14ac:dyDescent="0.2">
      <c r="A90" s="332"/>
      <c r="B90" s="411" t="s">
        <v>1168</v>
      </c>
      <c r="C90" s="413">
        <v>25</v>
      </c>
      <c r="D90" s="413">
        <v>2391.875</v>
      </c>
      <c r="E90" s="411"/>
      <c r="F90" s="414">
        <v>26.88</v>
      </c>
      <c r="G90" s="413">
        <v>25</v>
      </c>
      <c r="H90" s="413">
        <v>2870</v>
      </c>
      <c r="I90" s="415">
        <f t="shared" si="2"/>
        <v>5261.875</v>
      </c>
    </row>
    <row r="91" spans="1:9" s="240" customFormat="1" x14ac:dyDescent="0.2">
      <c r="A91" s="332"/>
      <c r="B91" s="416" t="s">
        <v>1169</v>
      </c>
      <c r="C91" s="418">
        <v>31</v>
      </c>
      <c r="D91" s="418">
        <v>3132.5499999999997</v>
      </c>
      <c r="E91" s="416"/>
      <c r="F91" s="414">
        <v>33.33</v>
      </c>
      <c r="G91" s="418">
        <v>24</v>
      </c>
      <c r="H91" s="418">
        <v>2748</v>
      </c>
      <c r="I91" s="419">
        <f t="shared" si="2"/>
        <v>5880.5499999999993</v>
      </c>
    </row>
    <row r="92" spans="1:9" s="240" customFormat="1" x14ac:dyDescent="0.2">
      <c r="A92" s="332"/>
      <c r="B92" s="416" t="s">
        <v>1170</v>
      </c>
      <c r="C92" s="418">
        <v>22</v>
      </c>
      <c r="D92" s="418">
        <v>2223.1</v>
      </c>
      <c r="E92" s="416"/>
      <c r="F92" s="414">
        <v>23.65</v>
      </c>
      <c r="G92" s="418">
        <v>31</v>
      </c>
      <c r="H92" s="418">
        <v>3568</v>
      </c>
      <c r="I92" s="419">
        <f t="shared" si="2"/>
        <v>5791.1</v>
      </c>
    </row>
    <row r="93" spans="1:9" s="240" customFormat="1" x14ac:dyDescent="0.2">
      <c r="A93" s="279"/>
      <c r="B93" s="420" t="s">
        <v>1171</v>
      </c>
      <c r="C93" s="418">
        <v>22</v>
      </c>
      <c r="D93" s="428">
        <v>2223.1</v>
      </c>
      <c r="E93" s="427"/>
      <c r="F93" s="422">
        <v>23.65</v>
      </c>
      <c r="G93" s="428">
        <v>23</v>
      </c>
      <c r="H93" s="428">
        <v>2641</v>
      </c>
      <c r="I93" s="429">
        <f t="shared" si="2"/>
        <v>4864.1000000000004</v>
      </c>
    </row>
    <row r="94" spans="1:9" s="240" customFormat="1" x14ac:dyDescent="0.2">
      <c r="A94" s="405">
        <v>17</v>
      </c>
      <c r="B94" s="406" t="s">
        <v>1151</v>
      </c>
      <c r="C94" s="407">
        <v>52</v>
      </c>
      <c r="D94" s="407">
        <v>5179.3500000000004</v>
      </c>
      <c r="E94" s="406"/>
      <c r="F94" s="409">
        <v>55.91</v>
      </c>
      <c r="G94" s="407">
        <v>47</v>
      </c>
      <c r="H94" s="407">
        <v>5391</v>
      </c>
      <c r="I94" s="408">
        <f t="shared" si="2"/>
        <v>10570.35</v>
      </c>
    </row>
    <row r="95" spans="1:9" s="240" customFormat="1" x14ac:dyDescent="0.2">
      <c r="A95" s="332"/>
      <c r="B95" s="411" t="s">
        <v>1168</v>
      </c>
      <c r="C95" s="413">
        <v>14</v>
      </c>
      <c r="D95" s="413">
        <v>1339.45</v>
      </c>
      <c r="E95" s="411"/>
      <c r="F95" s="414">
        <v>15.05</v>
      </c>
      <c r="G95" s="413">
        <v>19</v>
      </c>
      <c r="H95" s="413">
        <v>2187</v>
      </c>
      <c r="I95" s="415">
        <f t="shared" si="2"/>
        <v>3526.45</v>
      </c>
    </row>
    <row r="96" spans="1:9" s="240" customFormat="1" x14ac:dyDescent="0.2">
      <c r="A96" s="332"/>
      <c r="B96" s="416" t="s">
        <v>1169</v>
      </c>
      <c r="C96" s="418">
        <v>14</v>
      </c>
      <c r="D96" s="418">
        <v>1414.7</v>
      </c>
      <c r="E96" s="416"/>
      <c r="F96" s="414">
        <v>15.05</v>
      </c>
      <c r="G96" s="418">
        <v>8</v>
      </c>
      <c r="H96" s="418">
        <v>912</v>
      </c>
      <c r="I96" s="419">
        <f t="shared" si="2"/>
        <v>2326.6999999999998</v>
      </c>
    </row>
    <row r="97" spans="1:9" s="240" customFormat="1" x14ac:dyDescent="0.2">
      <c r="A97" s="332"/>
      <c r="B97" s="416" t="s">
        <v>1170</v>
      </c>
      <c r="C97" s="418">
        <v>9</v>
      </c>
      <c r="D97" s="418">
        <v>909.44999999999993</v>
      </c>
      <c r="E97" s="416"/>
      <c r="F97" s="414">
        <v>9.68</v>
      </c>
      <c r="G97" s="418">
        <v>12</v>
      </c>
      <c r="H97" s="418">
        <v>1381</v>
      </c>
      <c r="I97" s="419">
        <f t="shared" si="2"/>
        <v>2290.4499999999998</v>
      </c>
    </row>
    <row r="98" spans="1:9" s="240" customFormat="1" x14ac:dyDescent="0.2">
      <c r="A98" s="279"/>
      <c r="B98" s="420" t="s">
        <v>1171</v>
      </c>
      <c r="C98" s="418">
        <v>15</v>
      </c>
      <c r="D98" s="428">
        <v>1515.75</v>
      </c>
      <c r="E98" s="427"/>
      <c r="F98" s="422">
        <v>16.13</v>
      </c>
      <c r="G98" s="428">
        <v>8</v>
      </c>
      <c r="H98" s="428">
        <v>911</v>
      </c>
      <c r="I98" s="429">
        <f t="shared" si="2"/>
        <v>2426.75</v>
      </c>
    </row>
    <row r="99" spans="1:9" s="240" customFormat="1" x14ac:dyDescent="0.2">
      <c r="A99" s="405">
        <v>18</v>
      </c>
      <c r="B99" s="406" t="s">
        <v>1078</v>
      </c>
      <c r="C99" s="407">
        <v>154</v>
      </c>
      <c r="D99" s="407">
        <v>15352.075000000001</v>
      </c>
      <c r="E99" s="406"/>
      <c r="F99" s="409">
        <v>165.56</v>
      </c>
      <c r="G99" s="407">
        <v>183</v>
      </c>
      <c r="H99" s="407">
        <v>21040</v>
      </c>
      <c r="I99" s="408">
        <f t="shared" si="2"/>
        <v>36392.074999999997</v>
      </c>
    </row>
    <row r="100" spans="1:9" s="240" customFormat="1" x14ac:dyDescent="0.2">
      <c r="A100" s="332"/>
      <c r="B100" s="411" t="s">
        <v>1168</v>
      </c>
      <c r="C100" s="413">
        <v>39</v>
      </c>
      <c r="D100" s="413">
        <v>3731.3249999999998</v>
      </c>
      <c r="E100" s="411"/>
      <c r="F100" s="414">
        <v>41.93</v>
      </c>
      <c r="G100" s="413">
        <v>66</v>
      </c>
      <c r="H100" s="413">
        <v>7606</v>
      </c>
      <c r="I100" s="415">
        <f t="shared" si="2"/>
        <v>11337.325000000001</v>
      </c>
    </row>
    <row r="101" spans="1:9" s="240" customFormat="1" x14ac:dyDescent="0.2">
      <c r="A101" s="332"/>
      <c r="B101" s="416" t="s">
        <v>1169</v>
      </c>
      <c r="C101" s="418">
        <v>40</v>
      </c>
      <c r="D101" s="418">
        <v>4042</v>
      </c>
      <c r="E101" s="416"/>
      <c r="F101" s="414">
        <v>43</v>
      </c>
      <c r="G101" s="418">
        <v>34</v>
      </c>
      <c r="H101" s="418">
        <v>3897</v>
      </c>
      <c r="I101" s="419">
        <f t="shared" si="2"/>
        <v>7939</v>
      </c>
    </row>
    <row r="102" spans="1:9" s="240" customFormat="1" x14ac:dyDescent="0.2">
      <c r="A102" s="332"/>
      <c r="B102" s="416" t="s">
        <v>1170</v>
      </c>
      <c r="C102" s="418">
        <v>41</v>
      </c>
      <c r="D102" s="418">
        <v>4143.05</v>
      </c>
      <c r="E102" s="416"/>
      <c r="F102" s="414">
        <v>44.08</v>
      </c>
      <c r="G102" s="418">
        <v>42</v>
      </c>
      <c r="H102" s="418">
        <v>4823</v>
      </c>
      <c r="I102" s="419">
        <f t="shared" si="2"/>
        <v>8966.0499999999993</v>
      </c>
    </row>
    <row r="103" spans="1:9" s="240" customFormat="1" x14ac:dyDescent="0.2">
      <c r="A103" s="279"/>
      <c r="B103" s="420" t="s">
        <v>1171</v>
      </c>
      <c r="C103" s="418">
        <v>34</v>
      </c>
      <c r="D103" s="428">
        <v>3435.7</v>
      </c>
      <c r="E103" s="427"/>
      <c r="F103" s="422">
        <v>36.549999999999997</v>
      </c>
      <c r="G103" s="428">
        <v>41</v>
      </c>
      <c r="H103" s="428">
        <v>4714</v>
      </c>
      <c r="I103" s="429">
        <f t="shared" si="2"/>
        <v>8149.7</v>
      </c>
    </row>
    <row r="104" spans="1:9" s="240" customFormat="1" x14ac:dyDescent="0.2">
      <c r="A104" s="405">
        <v>19</v>
      </c>
      <c r="B104" s="406" t="s">
        <v>1174</v>
      </c>
      <c r="C104" s="407">
        <v>143</v>
      </c>
      <c r="D104" s="407">
        <v>14208.295</v>
      </c>
      <c r="E104" s="406"/>
      <c r="F104" s="409">
        <v>153.74</v>
      </c>
      <c r="G104" s="407">
        <v>99</v>
      </c>
      <c r="H104" s="407">
        <v>11318</v>
      </c>
      <c r="I104" s="408">
        <f t="shared" si="2"/>
        <v>25526.294999999998</v>
      </c>
    </row>
    <row r="105" spans="1:9" s="240" customFormat="1" x14ac:dyDescent="0.2">
      <c r="A105" s="332"/>
      <c r="B105" s="411" t="s">
        <v>1168</v>
      </c>
      <c r="C105" s="413">
        <v>45</v>
      </c>
      <c r="D105" s="413">
        <v>4305.3950000000004</v>
      </c>
      <c r="E105" s="411"/>
      <c r="F105" s="414">
        <v>48.38</v>
      </c>
      <c r="G105" s="413">
        <v>34</v>
      </c>
      <c r="H105" s="413">
        <v>3891</v>
      </c>
      <c r="I105" s="415">
        <f t="shared" si="2"/>
        <v>8196.3950000000004</v>
      </c>
    </row>
    <row r="106" spans="1:9" s="240" customFormat="1" x14ac:dyDescent="0.2">
      <c r="A106" s="332"/>
      <c r="B106" s="416" t="s">
        <v>1169</v>
      </c>
      <c r="C106" s="418">
        <v>37</v>
      </c>
      <c r="D106" s="418">
        <v>3738.85</v>
      </c>
      <c r="E106" s="416"/>
      <c r="F106" s="414">
        <v>39.78</v>
      </c>
      <c r="G106" s="418">
        <v>27</v>
      </c>
      <c r="H106" s="418">
        <v>3089</v>
      </c>
      <c r="I106" s="419">
        <f t="shared" si="2"/>
        <v>6827.85</v>
      </c>
    </row>
    <row r="107" spans="1:9" s="240" customFormat="1" x14ac:dyDescent="0.2">
      <c r="A107" s="332"/>
      <c r="B107" s="416" t="s">
        <v>1170</v>
      </c>
      <c r="C107" s="418">
        <v>36</v>
      </c>
      <c r="D107" s="418">
        <v>3637.7999999999997</v>
      </c>
      <c r="E107" s="416"/>
      <c r="F107" s="414">
        <v>38.700000000000003</v>
      </c>
      <c r="G107" s="418">
        <v>25</v>
      </c>
      <c r="H107" s="418">
        <v>2858</v>
      </c>
      <c r="I107" s="419">
        <f t="shared" si="2"/>
        <v>6495.7999999999993</v>
      </c>
    </row>
    <row r="108" spans="1:9" s="240" customFormat="1" x14ac:dyDescent="0.2">
      <c r="A108" s="279"/>
      <c r="B108" s="420" t="s">
        <v>1171</v>
      </c>
      <c r="C108" s="418">
        <v>25</v>
      </c>
      <c r="D108" s="428">
        <v>2526.25</v>
      </c>
      <c r="E108" s="427"/>
      <c r="F108" s="422">
        <v>26.88</v>
      </c>
      <c r="G108" s="428">
        <v>13</v>
      </c>
      <c r="H108" s="428">
        <v>1480</v>
      </c>
      <c r="I108" s="429">
        <f t="shared" si="2"/>
        <v>4006.25</v>
      </c>
    </row>
    <row r="109" spans="1:9" s="240" customFormat="1" ht="25.5" x14ac:dyDescent="0.2">
      <c r="A109" s="405">
        <v>20</v>
      </c>
      <c r="B109" s="406" t="s">
        <v>1175</v>
      </c>
      <c r="C109" s="407">
        <v>43</v>
      </c>
      <c r="D109" s="407">
        <v>4280.6499999999996</v>
      </c>
      <c r="E109" s="406"/>
      <c r="F109" s="409">
        <v>46.230000000000004</v>
      </c>
      <c r="G109" s="407">
        <v>32</v>
      </c>
      <c r="H109" s="407">
        <v>3661</v>
      </c>
      <c r="I109" s="408">
        <f t="shared" si="2"/>
        <v>7941.65</v>
      </c>
    </row>
    <row r="110" spans="1:9" s="240" customFormat="1" x14ac:dyDescent="0.2">
      <c r="A110" s="332"/>
      <c r="B110" s="411" t="s">
        <v>1168</v>
      </c>
      <c r="C110" s="413">
        <v>12</v>
      </c>
      <c r="D110" s="413">
        <v>1148.0999999999999</v>
      </c>
      <c r="E110" s="411"/>
      <c r="F110" s="414">
        <v>12.9</v>
      </c>
      <c r="G110" s="413">
        <v>12</v>
      </c>
      <c r="H110" s="413">
        <v>1378</v>
      </c>
      <c r="I110" s="415">
        <f t="shared" si="2"/>
        <v>2526.1</v>
      </c>
    </row>
    <row r="111" spans="1:9" s="240" customFormat="1" x14ac:dyDescent="0.2">
      <c r="A111" s="332"/>
      <c r="B111" s="416" t="s">
        <v>1169</v>
      </c>
      <c r="C111" s="418">
        <v>12</v>
      </c>
      <c r="D111" s="418">
        <v>1212.5999999999999</v>
      </c>
      <c r="E111" s="416"/>
      <c r="F111" s="414">
        <v>12.9</v>
      </c>
      <c r="G111" s="418">
        <v>5</v>
      </c>
      <c r="H111" s="418">
        <v>566</v>
      </c>
      <c r="I111" s="419">
        <f t="shared" si="2"/>
        <v>1778.6</v>
      </c>
    </row>
    <row r="112" spans="1:9" s="240" customFormat="1" x14ac:dyDescent="0.2">
      <c r="A112" s="332"/>
      <c r="B112" s="416" t="s">
        <v>1170</v>
      </c>
      <c r="C112" s="418">
        <v>3</v>
      </c>
      <c r="D112" s="418">
        <v>303.14999999999998</v>
      </c>
      <c r="E112" s="416"/>
      <c r="F112" s="414">
        <v>3.23</v>
      </c>
      <c r="G112" s="418">
        <v>12</v>
      </c>
      <c r="H112" s="418">
        <v>1387</v>
      </c>
      <c r="I112" s="419">
        <f t="shared" si="2"/>
        <v>1690.15</v>
      </c>
    </row>
    <row r="113" spans="1:9" s="240" customFormat="1" x14ac:dyDescent="0.2">
      <c r="A113" s="279"/>
      <c r="B113" s="420" t="s">
        <v>1171</v>
      </c>
      <c r="C113" s="428">
        <v>16</v>
      </c>
      <c r="D113" s="428">
        <v>1616.8</v>
      </c>
      <c r="E113" s="432"/>
      <c r="F113" s="433">
        <v>17.2</v>
      </c>
      <c r="G113" s="428">
        <v>3</v>
      </c>
      <c r="H113" s="428">
        <v>330</v>
      </c>
      <c r="I113" s="429">
        <f t="shared" si="2"/>
        <v>1946.8</v>
      </c>
    </row>
    <row r="114" spans="1:9" s="240" customFormat="1" ht="12" x14ac:dyDescent="0.2">
      <c r="B114" s="390"/>
      <c r="C114" s="390"/>
      <c r="D114" s="390"/>
      <c r="E114" s="390"/>
      <c r="F114" s="390"/>
      <c r="G114" s="390"/>
      <c r="H114" s="390"/>
    </row>
    <row r="115" spans="1:9" s="240" customFormat="1" ht="12" x14ac:dyDescent="0.2">
      <c r="B115" s="390"/>
      <c r="C115" s="390"/>
      <c r="D115" s="390"/>
      <c r="E115" s="390"/>
      <c r="F115" s="390"/>
      <c r="G115" s="390"/>
      <c r="H115" s="390"/>
    </row>
    <row r="116" spans="1:9" s="240" customFormat="1" ht="12" x14ac:dyDescent="0.2">
      <c r="B116" s="390"/>
      <c r="C116" s="390"/>
      <c r="D116" s="390"/>
      <c r="E116" s="390"/>
      <c r="F116" s="390"/>
      <c r="G116" s="390"/>
      <c r="H116" s="390"/>
    </row>
    <row r="117" spans="1:9" s="240" customFormat="1" ht="12" x14ac:dyDescent="0.2">
      <c r="B117" s="390"/>
      <c r="C117" s="390"/>
      <c r="D117" s="390"/>
      <c r="E117" s="390"/>
      <c r="F117" s="390"/>
      <c r="G117" s="390"/>
      <c r="H117" s="390"/>
    </row>
    <row r="118" spans="1:9" s="240" customFormat="1" ht="12" x14ac:dyDescent="0.2">
      <c r="B118" s="390"/>
      <c r="C118" s="390"/>
      <c r="D118" s="390"/>
      <c r="E118" s="390"/>
      <c r="F118" s="390"/>
      <c r="G118" s="390"/>
      <c r="H118" s="390"/>
    </row>
    <row r="119" spans="1:9" s="240" customFormat="1" ht="12" x14ac:dyDescent="0.2">
      <c r="B119" s="390"/>
      <c r="C119" s="390"/>
      <c r="D119" s="390"/>
      <c r="E119" s="390"/>
      <c r="F119" s="390"/>
      <c r="G119" s="390"/>
      <c r="H119" s="390"/>
    </row>
    <row r="120" spans="1:9" s="240" customFormat="1" ht="12" x14ac:dyDescent="0.2">
      <c r="B120" s="390"/>
      <c r="C120" s="390"/>
      <c r="D120" s="390"/>
      <c r="E120" s="390"/>
      <c r="F120" s="390"/>
      <c r="G120" s="390"/>
      <c r="H120" s="390"/>
    </row>
    <row r="121" spans="1:9" s="240" customFormat="1" ht="12" x14ac:dyDescent="0.2">
      <c r="B121" s="390"/>
      <c r="C121" s="390"/>
      <c r="D121" s="390"/>
      <c r="E121" s="390"/>
      <c r="F121" s="390"/>
      <c r="G121" s="390"/>
      <c r="H121" s="390"/>
    </row>
    <row r="122" spans="1:9" s="240" customFormat="1" ht="12" x14ac:dyDescent="0.2">
      <c r="B122" s="390"/>
      <c r="C122" s="390"/>
      <c r="D122" s="390"/>
      <c r="E122" s="390"/>
      <c r="F122" s="390"/>
      <c r="G122" s="390"/>
      <c r="H122" s="390"/>
    </row>
    <row r="123" spans="1:9" s="240" customFormat="1" ht="12" x14ac:dyDescent="0.2">
      <c r="B123" s="390"/>
      <c r="C123" s="390"/>
      <c r="D123" s="390"/>
      <c r="E123" s="390"/>
      <c r="F123" s="390"/>
      <c r="G123" s="390"/>
      <c r="H123" s="390"/>
    </row>
    <row r="124" spans="1:9" s="240" customFormat="1" ht="12" x14ac:dyDescent="0.2">
      <c r="B124" s="390"/>
      <c r="C124" s="390"/>
      <c r="D124" s="390"/>
      <c r="E124" s="390"/>
      <c r="F124" s="390"/>
      <c r="G124" s="390"/>
      <c r="H124" s="390"/>
    </row>
    <row r="125" spans="1:9" x14ac:dyDescent="0.2">
      <c r="A125" s="240"/>
      <c r="B125" s="390"/>
      <c r="C125" s="390"/>
      <c r="D125" s="390"/>
      <c r="E125" s="390"/>
      <c r="F125" s="390"/>
      <c r="G125" s="390"/>
      <c r="H125" s="390"/>
    </row>
    <row r="126" spans="1:9" x14ac:dyDescent="0.2">
      <c r="A126" s="240"/>
      <c r="B126" s="390"/>
      <c r="C126" s="390"/>
      <c r="D126" s="390"/>
      <c r="E126" s="390"/>
      <c r="F126" s="390"/>
      <c r="G126" s="390"/>
      <c r="H126" s="390"/>
    </row>
    <row r="127" spans="1:9" x14ac:dyDescent="0.2">
      <c r="A127" s="240"/>
      <c r="B127" s="390"/>
      <c r="C127" s="390"/>
      <c r="D127" s="390"/>
      <c r="E127" s="390"/>
      <c r="F127" s="390"/>
      <c r="G127" s="390"/>
      <c r="H127" s="390"/>
    </row>
    <row r="128" spans="1:9" x14ac:dyDescent="0.2">
      <c r="A128" s="240"/>
      <c r="B128" s="390"/>
      <c r="C128" s="390"/>
      <c r="D128" s="390"/>
      <c r="E128" s="390"/>
      <c r="F128" s="390"/>
      <c r="G128" s="390"/>
      <c r="H128" s="390"/>
    </row>
    <row r="129" spans="1:8" x14ac:dyDescent="0.2">
      <c r="A129" s="240"/>
      <c r="B129" s="390"/>
      <c r="C129" s="390"/>
      <c r="D129" s="390"/>
      <c r="E129" s="390"/>
      <c r="F129" s="390"/>
      <c r="G129" s="390"/>
      <c r="H129" s="390"/>
    </row>
  </sheetData>
  <mergeCells count="4">
    <mergeCell ref="A5:H5"/>
    <mergeCell ref="A6:H6"/>
    <mergeCell ref="A8:A11"/>
    <mergeCell ref="B8:B11"/>
  </mergeCells>
  <pageMargins left="0.78740157480314965" right="0.78740157480314965" top="1.1811023622047243" bottom="1.1811023622047243" header="0" footer="0"/>
  <pageSetup paperSize="9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1.pielikums</vt:lpstr>
      <vt:lpstr>2.pielikums</vt:lpstr>
      <vt:lpstr>4.pielikums</vt:lpstr>
      <vt:lpstr>5.pielikums</vt:lpstr>
      <vt:lpstr>6.pielikums</vt:lpstr>
      <vt:lpstr>7.pielikums</vt:lpstr>
      <vt:lpstr>8.pielikums</vt:lpstr>
      <vt:lpstr>9.pielikums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Zane Dreija</cp:lastModifiedBy>
  <cp:lastPrinted>2023-10-03T11:36:00Z</cp:lastPrinted>
  <dcterms:created xsi:type="dcterms:W3CDTF">2023-09-27T06:32:17Z</dcterms:created>
  <dcterms:modified xsi:type="dcterms:W3CDTF">2023-10-03T12:06:37Z</dcterms:modified>
</cp:coreProperties>
</file>